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-2" sheetId="9" r:id="rId9"/>
    <sheet name="січень 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<sst xmlns="http://schemas.openxmlformats.org/spreadsheetml/2006/main" count="1478" uniqueCount="307">
  <si>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</si>
  <si>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</si>
  <si>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</si>
  <si>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</si>
  <si>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</si>
  <si>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</si>
  <si>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</si>
  <si>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</si>
  <si>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</si>
  <si>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</si>
  <si>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</si>
  <si>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</si>
  <si>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</si>
  <si>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</si>
  <si>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</si>
  <si>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</si>
  <si>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</si>
  <si>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</si>
  <si>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</si>
  <si>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</si>
  <si>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</si>
  <si>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</si>
  <si>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</si>
  <si>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</si>
  <si>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</si>
  <si>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</si>
  <si>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</si>
  <si>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</si>
  <si>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</si>
  <si>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</si>
  <si>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</si>
  <si>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</si>
  <si>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</si>
  <si>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</si>
  <si>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</si>
  <si>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</si>
  <si>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</si>
  <si>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</si>
  <si>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</si>
  <si>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</si>
  <si>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</si>
  <si>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</si>
  <si>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</si>
  <si>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</si>
  <si>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</si>
  <si>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</si>
  <si>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</si>
  <si>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</si>
  <si>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</si>
  <si>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</si>
  <si>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</si>
  <si>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</si>
  <si>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</si>
  <si>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</si>
  <si>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</si>
  <si>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</si>
  <si>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</si>
  <si>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</si>
  <si>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</si>
  <si>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</si>
  <si>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</si>
  <si>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</si>
  <si>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</si>
  <si>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</si>
  <si>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</si>
  <si>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</si>
  <si>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</si>
  <si>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</si>
  <si>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</si>
  <si>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</si>
  <si>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</si>
  <si>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</si>
  <si>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</si>
  <si>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</si>
  <si>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</si>
  <si>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</si>
  <si>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</si>
  <si>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</si>
  <si>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</si>
  <si>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</si>
  <si>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</si>
  <si>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</si>
  <si>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</si>
  <si>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</si>
  <si>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</si>
  <si>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</si>
  <si>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</si>
  <si>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</si>
  <si>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</si>
  <si>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</si>
  <si>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</si>
  <si>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</si>
  <si>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</si>
  <si>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</si>
  <si>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</si>
  <si>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</si>
  <si>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</si>
  <si>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</si>
  <si>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</si>
  <si>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</si>
  <si>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</si>
  <si>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</si>
  <si>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</si>
  <si>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</si>
  <si>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</si>
  <si>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</si>
  <si>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</si>
  <si>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</si>
  <si>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</si>
  <si>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</si>
  <si>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</si>
  <si>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</si>
  <si>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</si>
  <si>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</si>
  <si>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</si>
  <si>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</si>
  <si>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</si>
  <si>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</si>
  <si>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</si>
  <si>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</si>
  <si>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</si>
  <si>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</si>
  <si>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</si>
  <si>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</si>
  <si>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</si>
  <si>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</si>
  <si>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</si>
  <si>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</si>
  <si>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</si>
  <si>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</si>
  <si>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</si>
  <si>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</si>
  <si>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</si>
  <si>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</si>
  <si>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</si>
  <si>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</si>
  <si>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</si>
  <si>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</si>
  <si>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</si>
  <si>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</si>
  <si>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</si>
  <si>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</si>
  <si>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</si>
  <si>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</si>
  <si>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</si>
  <si>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</si>
  <si>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</si>
  <si>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</si>
  <si>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</si>
  <si>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</si>
  <si>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</si>
  <si>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</si>
  <si>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</si>
  <si>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</si>
  <si>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</si>
  <si>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</si>
  <si>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</si>
  <si>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</si>
  <si>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</si>
  <si>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</si>
  <si>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</si>
  <si>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</si>
  <si>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</si>
  <si>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</si>
  <si>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</si>
  <si>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</si>
  <si>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</si>
  <si>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</si>
  <si>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</si>
  <si>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</si>
  <si>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</si>
  <si>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</si>
  <si>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</si>
  <si>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</si>
  <si>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</si>
  <si>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</si>
  <si>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</si>
  <si>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</si>
  <si>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</si>
  <si>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</si>
  <si>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</si>
  <si>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</si>
  <si>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</si>
  <si>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</si>
  <si>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</si>
  <si>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</si>
  <si>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</si>
  <si>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</si>
  <si>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</si>
  <si>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</si>
  <si>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</si>
  <si>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</si>
  <si>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</si>
  <si>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</si>
  <si>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</si>
  <si>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</si>
  <si>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</si>
  <si>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</si>
  <si>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</si>
  <si>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</si>
  <si>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</si>
  <si>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</si>
  <si>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</si>
  <si>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</si>
  <si>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</si>
  <si>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</si>
  <si>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</si>
  <si>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</si>
  <si>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</si>
  <si>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</si>
  <si>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</si>
  <si>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</si>
  <si>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</si>
  <si>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</si>
  <si>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</si>
  <si>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</si>
  <si>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</si>
  <si>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</si>
  <si>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</si>
  <si>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</si>
  <si>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</si>
  <si>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</si>
  <si>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</si>
  <si>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</si>
  <si>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</si>
  <si>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</si>
  <si>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</si>
  <si>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</si>
  <si>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</si>
  <si>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</si>
  <si>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</si>
  <si>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</si>
  <si>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</si>
  <si>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</si>
  <si>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</si>
  <si>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</si>
  <si>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</si>
  <si>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</si>
  <si>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</si>
  <si>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</si>
  <si>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</si>
  <si>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</si>
  <si>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</si>
  <si>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</si>
  <si>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</si>
  <si>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</si>
  <si>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</si>
  <si>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</si>
  <si>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</si>
  <si>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</si>
  <si>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</si>
  <si>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</si>
  <si>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</si>
  <si>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</si>
  <si>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</si>
  <si>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</si>
  <si>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</si>
  <si>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</si>
  <si>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</si>
  <si>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</si>
  <si>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</si>
  <si>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</si>
  <si>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</si>
  <si>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</si>
  <si>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</si>
  <si>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</si>
  <si>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</si>
  <si>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</si>
  <si>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</si>
  <si>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</si>
  <si>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</si>
  <si>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</si>
  <si>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</si>
  <si>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</si>
  <si>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</si>
  <si>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</si>
  <si>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</si>
  <si>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</si>
  <si>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</si>
  <si>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</si>
  <si>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</si>
  <si>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</si>
  <si>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</si>
  <si>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</si>
  <si>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</si>
  <si>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</si>
  <si>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</si>
  <si>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</si>
  <si>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</si>
  <si>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</si>
  <si>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</si>
  <si>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</si>
  <si>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</si>
  <si>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</si>
  <si>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</si>
  <si>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</si>
  <si>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</si>
  <si>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</si>
  <si>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</si>
  <si>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</si>
  <si>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</si>
  <si>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</si>
  <si>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</si>
  <si>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</si>
  <si>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</si>
  <si>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28.09.2015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</si>
  <si>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25.09.15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</si>
</sst>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174" fontId="40" fillId="0" borderId="1" xfId="0" applyNumberFormat="1" applyFont="1" applyBorder="1" applyAlignment="1" applyProtection="1">
      <alignment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4" fontId="14" fillId="0" borderId="0" xfId="20" applyNumberFormat="1" applyFont="1" applyAlignment="1" applyProtection="1">
      <alignment horizontal="center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83" sqref="D83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305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303</v>
      </c>
      <c r="N3" s="241" t="s">
        <v>304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298</v>
      </c>
      <c r="F4" s="243" t="s">
        <v>116</v>
      </c>
      <c r="G4" s="245" t="s">
        <v>299</v>
      </c>
      <c r="H4" s="247" t="s">
        <v>300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306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302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463861.63000000006</v>
      </c>
      <c r="G8" s="18">
        <f aca="true" t="shared" si="0" ref="G8:G54">F8-E8</f>
        <v>5109.130000000063</v>
      </c>
      <c r="H8" s="45">
        <f>F8/E8*100</f>
        <v>101.11370074277526</v>
      </c>
      <c r="I8" s="31">
        <f aca="true" t="shared" si="1" ref="I8:I54">F8-D8</f>
        <v>-108427.36999999994</v>
      </c>
      <c r="J8" s="31">
        <f aca="true" t="shared" si="2" ref="J8:J14">F8/D8*100</f>
        <v>81.05373858312846</v>
      </c>
      <c r="K8" s="18">
        <f>K9+K15+K18+K19+K20+K32</f>
        <v>104877.78600000002</v>
      </c>
      <c r="L8" s="18"/>
      <c r="M8" s="18">
        <f>M9+M15+M18+M19+M20+M32+M17</f>
        <v>45676.399999999994</v>
      </c>
      <c r="N8" s="18">
        <f>N9+N15+N18+N19+N20+N32+N17</f>
        <v>34349.52000000003</v>
      </c>
      <c r="O8" s="31">
        <f aca="true" t="shared" si="3" ref="O8:O54">N8-M8</f>
        <v>-11326.879999999961</v>
      </c>
      <c r="P8" s="31">
        <f>F8/M8*100</f>
        <v>1015.5389435244463</v>
      </c>
      <c r="Q8" s="31">
        <f>N8-33748.16</f>
        <v>601.3600000000297</v>
      </c>
      <c r="R8" s="125">
        <f>N8/33748.16</f>
        <v>1.0178190455420393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248614.55</v>
      </c>
      <c r="F9" s="143">
        <v>257793.82</v>
      </c>
      <c r="G9" s="43">
        <f t="shared" si="0"/>
        <v>9179.270000000019</v>
      </c>
      <c r="H9" s="35">
        <f aca="true" t="shared" si="4" ref="H9:H32">F9/E9*100</f>
        <v>103.69216926362516</v>
      </c>
      <c r="I9" s="50">
        <f t="shared" si="1"/>
        <v>-54896.17999999999</v>
      </c>
      <c r="J9" s="50">
        <f t="shared" si="2"/>
        <v>82.44389651092136</v>
      </c>
      <c r="K9" s="132">
        <f>F9-282613.68/75*60</f>
        <v>31702.87600000002</v>
      </c>
      <c r="L9" s="132">
        <f>F9/(282613.68/75*60)*100</f>
        <v>114.02217861499133</v>
      </c>
      <c r="M9" s="35">
        <f>E9-серпень!E9</f>
        <v>26089.899999999994</v>
      </c>
      <c r="N9" s="35">
        <f>F9-серпень!F9</f>
        <v>24082.809999999998</v>
      </c>
      <c r="O9" s="47">
        <f t="shared" si="3"/>
        <v>-2007.0899999999965</v>
      </c>
      <c r="P9" s="50">
        <f aca="true" t="shared" si="5" ref="P9:P32">N9/M9*100</f>
        <v>92.30702302423545</v>
      </c>
      <c r="Q9" s="132">
        <f>N9-26568.11</f>
        <v>-2485.300000000003</v>
      </c>
      <c r="R9" s="133">
        <f>N9/26568.11</f>
        <v>0.9064555212997837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218490.25</v>
      </c>
      <c r="F10" s="144">
        <v>227570.38</v>
      </c>
      <c r="G10" s="135">
        <f t="shared" si="0"/>
        <v>9080.130000000005</v>
      </c>
      <c r="H10" s="137">
        <f t="shared" si="4"/>
        <v>104.15585134805787</v>
      </c>
      <c r="I10" s="136">
        <f t="shared" si="1"/>
        <v>-12839.619999999995</v>
      </c>
      <c r="J10" s="136">
        <f t="shared" si="2"/>
        <v>94.65928205981449</v>
      </c>
      <c r="K10" s="138">
        <f>F10-251377.17/75*60</f>
        <v>26468.644</v>
      </c>
      <c r="L10" s="138">
        <f>F10/(251377.17/75*60)*100</f>
        <v>113.16181775775422</v>
      </c>
      <c r="M10" s="137">
        <f>E10-серпень!E10</f>
        <v>22490</v>
      </c>
      <c r="N10" s="137">
        <f>F10-серпень!F10</f>
        <v>20952.170000000013</v>
      </c>
      <c r="O10" s="138">
        <f t="shared" si="3"/>
        <v>-1537.8299999999872</v>
      </c>
      <c r="P10" s="136">
        <f t="shared" si="5"/>
        <v>93.16216096042692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16787.9</v>
      </c>
      <c r="F11" s="144">
        <v>13906.56</v>
      </c>
      <c r="G11" s="135">
        <f t="shared" si="0"/>
        <v>-2881.340000000002</v>
      </c>
      <c r="H11" s="137">
        <f t="shared" si="4"/>
        <v>82.83680507984916</v>
      </c>
      <c r="I11" s="136">
        <f t="shared" si="1"/>
        <v>-9793.44</v>
      </c>
      <c r="J11" s="136">
        <f t="shared" si="2"/>
        <v>58.677468354430374</v>
      </c>
      <c r="K11" s="138">
        <f>F11-18550.28/75*60</f>
        <v>-933.6640000000007</v>
      </c>
      <c r="L11" s="138">
        <f>F11/(18550.28/75*60)*100</f>
        <v>93.70855857701339</v>
      </c>
      <c r="M11" s="137">
        <f>E11-серпень!E11</f>
        <v>2099.9000000000015</v>
      </c>
      <c r="N11" s="137">
        <f>F11-серпень!F11</f>
        <v>1498</v>
      </c>
      <c r="O11" s="138">
        <f t="shared" si="3"/>
        <v>-601.9000000000015</v>
      </c>
      <c r="P11" s="136">
        <f t="shared" si="5"/>
        <v>71.3367303204914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3710.38</v>
      </c>
      <c r="G12" s="135">
        <f t="shared" si="0"/>
        <v>-198.6199999999999</v>
      </c>
      <c r="H12" s="137">
        <f t="shared" si="4"/>
        <v>94.91890509081607</v>
      </c>
      <c r="I12" s="136">
        <f t="shared" si="1"/>
        <v>-2089.62</v>
      </c>
      <c r="J12" s="136">
        <f t="shared" si="2"/>
        <v>63.972068965517245</v>
      </c>
      <c r="K12" s="138">
        <f>F12-5298.15/75*60</f>
        <v>-528.1399999999994</v>
      </c>
      <c r="L12" s="138">
        <f>F12/(5298.15*60)*100</f>
        <v>1.1671935801490456</v>
      </c>
      <c r="M12" s="137">
        <f>E12-серпень!E12</f>
        <v>660</v>
      </c>
      <c r="N12" s="137">
        <f>F12-серпень!F12</f>
        <v>379.02</v>
      </c>
      <c r="O12" s="138">
        <f t="shared" si="3"/>
        <v>-280.98</v>
      </c>
      <c r="P12" s="136">
        <f t="shared" si="5"/>
        <v>57.42727272727273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5645.14</v>
      </c>
      <c r="G13" s="135">
        <f t="shared" si="0"/>
        <v>-578.2599999999993</v>
      </c>
      <c r="H13" s="137">
        <f t="shared" si="4"/>
        <v>90.70829450139796</v>
      </c>
      <c r="I13" s="136">
        <f t="shared" si="1"/>
        <v>-2754.8599999999997</v>
      </c>
      <c r="J13" s="136">
        <f t="shared" si="2"/>
        <v>67.20404761904763</v>
      </c>
      <c r="K13" s="138">
        <f>F13-7303.25/75*60</f>
        <v>-197.46000000000004</v>
      </c>
      <c r="L13" s="138">
        <f>F13/(7303.25/75*60)*100</f>
        <v>96.62034025947352</v>
      </c>
      <c r="M13" s="137">
        <f>E13-серпень!E13</f>
        <v>450</v>
      </c>
      <c r="N13" s="137">
        <f>F13-серпень!F13</f>
        <v>668.4100000000008</v>
      </c>
      <c r="O13" s="138">
        <f t="shared" si="3"/>
        <v>218.41000000000076</v>
      </c>
      <c r="P13" s="136">
        <f t="shared" si="5"/>
        <v>148.53555555555573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6961.36</v>
      </c>
      <c r="G14" s="135">
        <f t="shared" si="0"/>
        <v>3757.3599999999997</v>
      </c>
      <c r="H14" s="137">
        <f t="shared" si="4"/>
        <v>217.270911360799</v>
      </c>
      <c r="I14" s="136">
        <f t="shared" si="1"/>
        <v>2581.3599999999997</v>
      </c>
      <c r="J14" s="136">
        <f t="shared" si="2"/>
        <v>158.9351598173516</v>
      </c>
      <c r="K14" s="138">
        <f>F14-84.83/75*60</f>
        <v>6893.496</v>
      </c>
      <c r="L14" s="138">
        <f>F14/(84.83/75*60)*100</f>
        <v>10257.8097371213</v>
      </c>
      <c r="M14" s="137">
        <f>E14-липень!E14</f>
        <v>780</v>
      </c>
      <c r="N14" s="137">
        <f>F14-серпень!F14</f>
        <v>585.2199999999993</v>
      </c>
      <c r="O14" s="138">
        <f t="shared" si="3"/>
        <v>-194.78000000000065</v>
      </c>
      <c r="P14" s="136">
        <f t="shared" si="5"/>
        <v>75.02820512820504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-666.69</v>
      </c>
      <c r="G15" s="43">
        <f t="shared" si="0"/>
        <v>-838.09</v>
      </c>
      <c r="H15" s="35"/>
      <c r="I15" s="50">
        <f t="shared" si="1"/>
        <v>-666.69</v>
      </c>
      <c r="J15" s="50" t="e">
        <f>F15/D15*100</f>
        <v>#DIV/0!</v>
      </c>
      <c r="K15" s="53">
        <f>F15-(-404.47)</f>
        <v>-262.22</v>
      </c>
      <c r="L15" s="53">
        <f>F15/(-404.47)*100</f>
        <v>164.83051895072563</v>
      </c>
      <c r="M15" s="35">
        <f>E15-серпень!E15</f>
        <v>0.09999999999999432</v>
      </c>
      <c r="N15" s="35">
        <f>F15-серпень!F15</f>
        <v>67.88999999999999</v>
      </c>
      <c r="O15" s="47">
        <f t="shared" si="3"/>
        <v>67.78999999999999</v>
      </c>
      <c r="P15" s="50"/>
      <c r="Q15" s="50">
        <f>N15-358.81</f>
        <v>-290.92</v>
      </c>
      <c r="R15" s="126">
        <f>N15/358.81</f>
        <v>0.18920877344555612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-1165.92</v>
      </c>
      <c r="G16" s="135">
        <f t="shared" si="0"/>
        <v>-1165.92</v>
      </c>
      <c r="H16" s="137"/>
      <c r="I16" s="136">
        <f t="shared" si="1"/>
        <v>-1165.92</v>
      </c>
      <c r="J16" s="136"/>
      <c r="K16" s="138">
        <f>F16-95.61</f>
        <v>-1261.53</v>
      </c>
      <c r="L16" s="138">
        <f>F16/95.61*100</f>
        <v>-1219.4540320050205</v>
      </c>
      <c r="M16" s="35">
        <f>E16-серпень!E16</f>
        <v>0</v>
      </c>
      <c r="N16" s="35">
        <f>F16-серпень!F16</f>
        <v>67.88999999999987</v>
      </c>
      <c r="O16" s="138">
        <f t="shared" si="3"/>
        <v>67.88999999999987</v>
      </c>
      <c r="P16" s="50"/>
      <c r="Q16" s="136">
        <f>N16-358.81</f>
        <v>-290.92000000000013</v>
      </c>
      <c r="R16" s="141">
        <f>N16/358.79</f>
        <v>0.18921932049388185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46612.55</v>
      </c>
      <c r="G19" s="43">
        <f t="shared" si="0"/>
        <v>-4110.199999999997</v>
      </c>
      <c r="H19" s="35">
        <f t="shared" si="4"/>
        <v>91.89673272841083</v>
      </c>
      <c r="I19" s="50">
        <f t="shared" si="1"/>
        <v>-15597.449999999997</v>
      </c>
      <c r="J19" s="178">
        <f>F19/D19*100</f>
        <v>74.92774473557307</v>
      </c>
      <c r="K19" s="179">
        <f>F19-0</f>
        <v>46612.55</v>
      </c>
      <c r="L19" s="180"/>
      <c r="M19" s="35">
        <f>E19-серпень!E19</f>
        <v>6800</v>
      </c>
      <c r="N19" s="35">
        <f>F19-серпень!F19</f>
        <v>2734.8899999999994</v>
      </c>
      <c r="O19" s="47">
        <f t="shared" si="3"/>
        <v>-4065.1100000000006</v>
      </c>
      <c r="P19" s="50">
        <f t="shared" si="5"/>
        <v>40.21897058823529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154527.05000000002</v>
      </c>
      <c r="G20" s="43">
        <f t="shared" si="0"/>
        <v>1048.6500000000233</v>
      </c>
      <c r="H20" s="35">
        <f t="shared" si="4"/>
        <v>100.6832557545557</v>
      </c>
      <c r="I20" s="50">
        <f t="shared" si="1"/>
        <v>-35342.94999999998</v>
      </c>
      <c r="J20" s="178">
        <f aca="true" t="shared" si="6" ref="J20:J46">F20/D20*100</f>
        <v>81.3857112761363</v>
      </c>
      <c r="K20" s="178">
        <f>K21+K25+K26+K27</f>
        <v>28601.96</v>
      </c>
      <c r="L20" s="136"/>
      <c r="M20" s="35">
        <f>E20-серпень!E20</f>
        <v>12786.100000000006</v>
      </c>
      <c r="N20" s="35">
        <f>F20-серпень!F20</f>
        <v>7458.880000000034</v>
      </c>
      <c r="O20" s="47">
        <f t="shared" si="3"/>
        <v>-5327.219999999972</v>
      </c>
      <c r="P20" s="50">
        <f t="shared" si="5"/>
        <v>58.3358490861172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83917.26999999999</v>
      </c>
      <c r="G21" s="43">
        <f t="shared" si="0"/>
        <v>-1983.1300000000047</v>
      </c>
      <c r="H21" s="35">
        <f t="shared" si="4"/>
        <v>97.69136115780601</v>
      </c>
      <c r="I21" s="50">
        <f t="shared" si="1"/>
        <v>-26382.73000000001</v>
      </c>
      <c r="J21" s="178">
        <f t="shared" si="6"/>
        <v>76.0809338168631</v>
      </c>
      <c r="K21" s="178">
        <f>K22+K23+K24</f>
        <v>22370.659999999993</v>
      </c>
      <c r="L21" s="136"/>
      <c r="M21" s="35">
        <f>E21-серпень!E21</f>
        <v>8720.099999999991</v>
      </c>
      <c r="N21" s="35">
        <f>F21-серпень!F21</f>
        <v>4118.389999999985</v>
      </c>
      <c r="O21" s="47">
        <f t="shared" si="3"/>
        <v>-4601.710000000006</v>
      </c>
      <c r="P21" s="50">
        <f t="shared" si="5"/>
        <v>47.22870150571655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9070.71</v>
      </c>
      <c r="G22" s="135">
        <f t="shared" si="0"/>
        <v>276.3099999999995</v>
      </c>
      <c r="H22" s="137">
        <f t="shared" si="4"/>
        <v>103.14188574547438</v>
      </c>
      <c r="I22" s="136">
        <f t="shared" si="1"/>
        <v>-1629.2900000000009</v>
      </c>
      <c r="J22" s="136">
        <f t="shared" si="6"/>
        <v>84.7729906542056</v>
      </c>
      <c r="K22" s="136">
        <f>F22-314.15</f>
        <v>8756.56</v>
      </c>
      <c r="L22" s="136">
        <f>F22/314.15*100</f>
        <v>2887.381823969441</v>
      </c>
      <c r="M22" s="137">
        <f>E22-серпень!E22</f>
        <v>171.10000000000036</v>
      </c>
      <c r="N22" s="137">
        <f>F22-серпень!F22</f>
        <v>396.96999999999935</v>
      </c>
      <c r="O22" s="138">
        <f t="shared" si="3"/>
        <v>225.86999999999898</v>
      </c>
      <c r="P22" s="136">
        <f t="shared" si="5"/>
        <v>232.0105201636461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3308.63</v>
      </c>
      <c r="G23" s="135">
        <f t="shared" si="0"/>
        <v>1521.63</v>
      </c>
      <c r="H23" s="137"/>
      <c r="I23" s="136">
        <f t="shared" si="1"/>
        <v>1208.63</v>
      </c>
      <c r="J23" s="136">
        <f t="shared" si="6"/>
        <v>157.55380952380952</v>
      </c>
      <c r="K23" s="136">
        <f>F23-0</f>
        <v>3308.63</v>
      </c>
      <c r="L23" s="136"/>
      <c r="M23" s="137">
        <f>E23-серпень!E23</f>
        <v>309</v>
      </c>
      <c r="N23" s="137">
        <f>F23-серпень!F23</f>
        <v>191.6800000000003</v>
      </c>
      <c r="O23" s="138">
        <f t="shared" si="3"/>
        <v>-117.31999999999971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71537.93</v>
      </c>
      <c r="G24" s="135">
        <f t="shared" si="0"/>
        <v>-3781.070000000007</v>
      </c>
      <c r="H24" s="137">
        <f t="shared" si="4"/>
        <v>94.97992538403324</v>
      </c>
      <c r="I24" s="136">
        <f t="shared" si="1"/>
        <v>-25962.070000000007</v>
      </c>
      <c r="J24" s="136">
        <f t="shared" si="6"/>
        <v>73.37223589743589</v>
      </c>
      <c r="K24" s="224">
        <f>F24-61232.46</f>
        <v>10305.469999999994</v>
      </c>
      <c r="L24" s="224">
        <f>F24/61232.46*100</f>
        <v>116.8300767272783</v>
      </c>
      <c r="M24" s="137">
        <f>E24-серпень!E24</f>
        <v>8240</v>
      </c>
      <c r="N24" s="137">
        <f>F24-серпень!F24</f>
        <v>3529.7399999999907</v>
      </c>
      <c r="O24" s="138">
        <f t="shared" si="3"/>
        <v>-4710.260000000009</v>
      </c>
      <c r="P24" s="136">
        <f t="shared" si="5"/>
        <v>42.83665048543678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54.85</v>
      </c>
      <c r="G25" s="43">
        <f t="shared" si="0"/>
        <v>13.350000000000001</v>
      </c>
      <c r="H25" s="35">
        <f t="shared" si="4"/>
        <v>132.16867469879517</v>
      </c>
      <c r="I25" s="50">
        <f t="shared" si="1"/>
        <v>-15.149999999999999</v>
      </c>
      <c r="J25" s="178">
        <f t="shared" si="6"/>
        <v>78.35714285714286</v>
      </c>
      <c r="K25" s="178">
        <f>F25-44.08</f>
        <v>10.770000000000003</v>
      </c>
      <c r="L25" s="178">
        <f>F25/44.08*100</f>
        <v>124.43284936479128</v>
      </c>
      <c r="M25" s="35">
        <f>E25-серпень!E25</f>
        <v>6</v>
      </c>
      <c r="N25" s="35">
        <f>F25-серпень!F25</f>
        <v>6</v>
      </c>
      <c r="O25" s="47">
        <f t="shared" si="3"/>
        <v>0</v>
      </c>
      <c r="P25" s="50">
        <f t="shared" si="5"/>
        <v>100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-702.28</v>
      </c>
      <c r="G26" s="43">
        <f t="shared" si="0"/>
        <v>-702.28</v>
      </c>
      <c r="H26" s="35"/>
      <c r="I26" s="50">
        <f t="shared" si="1"/>
        <v>-702.28</v>
      </c>
      <c r="J26" s="136"/>
      <c r="K26" s="178">
        <f>F26-4797.94</f>
        <v>-5500.219999999999</v>
      </c>
      <c r="L26" s="178">
        <f>F26/4797.94*100</f>
        <v>-14.63711509522837</v>
      </c>
      <c r="M26" s="35">
        <f>E26-серпень!E26</f>
        <v>0</v>
      </c>
      <c r="N26" s="35">
        <f>F26-серпень!F26</f>
        <v>-87.70999999999992</v>
      </c>
      <c r="O26" s="47">
        <f t="shared" si="3"/>
        <v>-87.70999999999992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71257.21</v>
      </c>
      <c r="G27" s="43">
        <f t="shared" si="0"/>
        <v>3720.7100000000064</v>
      </c>
      <c r="H27" s="35">
        <f t="shared" si="4"/>
        <v>105.50918392276769</v>
      </c>
      <c r="I27" s="50">
        <f t="shared" si="1"/>
        <v>-8242.789999999994</v>
      </c>
      <c r="J27" s="178">
        <f t="shared" si="6"/>
        <v>89.63171069182391</v>
      </c>
      <c r="K27" s="132">
        <f>F27-59536.46</f>
        <v>11720.750000000007</v>
      </c>
      <c r="L27" s="132">
        <f>F27/59536.46*100</f>
        <v>119.68667603011669</v>
      </c>
      <c r="M27" s="35">
        <f>E27-серпень!E27</f>
        <v>4060</v>
      </c>
      <c r="N27" s="35">
        <f>F27-серпень!F27</f>
        <v>3422.2000000000116</v>
      </c>
      <c r="O27" s="47">
        <f t="shared" si="3"/>
        <v>-637.7999999999884</v>
      </c>
      <c r="P27" s="50">
        <f t="shared" si="5"/>
        <v>84.29064039408895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E28-серпень!E28</f>
        <v>0</v>
      </c>
      <c r="N28" s="137">
        <f>F28-серпень!F28</f>
        <v>0.030000000000000027</v>
      </c>
      <c r="O28" s="138">
        <f t="shared" si="3"/>
        <v>0.030000000000000027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17430.11</v>
      </c>
      <c r="G29" s="135">
        <f t="shared" si="0"/>
        <v>650.1100000000006</v>
      </c>
      <c r="H29" s="137">
        <f t="shared" si="4"/>
        <v>103.87431466030989</v>
      </c>
      <c r="I29" s="136">
        <f t="shared" si="1"/>
        <v>-1769.8899999999994</v>
      </c>
      <c r="J29" s="136">
        <f t="shared" si="6"/>
        <v>90.78182291666667</v>
      </c>
      <c r="K29" s="139">
        <f>F29-16472.46</f>
        <v>957.6500000000015</v>
      </c>
      <c r="L29" s="139">
        <f>F29/16472.46*100</f>
        <v>105.81364289243989</v>
      </c>
      <c r="M29" s="137">
        <f>E29-серпень!E29</f>
        <v>1200</v>
      </c>
      <c r="N29" s="137">
        <f>F29-серпень!F29</f>
        <v>498.77999999999884</v>
      </c>
      <c r="O29" s="138">
        <f t="shared" si="3"/>
        <v>-701.2200000000012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53811.47</v>
      </c>
      <c r="G30" s="135">
        <f t="shared" si="0"/>
        <v>3054.970000000001</v>
      </c>
      <c r="H30" s="137">
        <f t="shared" si="4"/>
        <v>106.01887442987599</v>
      </c>
      <c r="I30" s="136">
        <f t="shared" si="1"/>
        <v>-6488.529999999999</v>
      </c>
      <c r="J30" s="136">
        <f t="shared" si="6"/>
        <v>89.23958540630183</v>
      </c>
      <c r="K30" s="139">
        <f>F30-43062.79</f>
        <v>10748.68</v>
      </c>
      <c r="L30" s="139">
        <f>F30/43062.79*100</f>
        <v>124.96048212389397</v>
      </c>
      <c r="M30" s="137">
        <f>E30-серпень!E30</f>
        <v>2860</v>
      </c>
      <c r="N30" s="137">
        <f>F30-серпень!F30</f>
        <v>2923.4000000000015</v>
      </c>
      <c r="O30" s="138">
        <f t="shared" si="3"/>
        <v>63.400000000001455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E31-серпень!E31</f>
        <v>0</v>
      </c>
      <c r="N31" s="137">
        <f>F31-серпень!F31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5579.01</v>
      </c>
      <c r="G32" s="43">
        <f t="shared" si="0"/>
        <v>-173.38999999999942</v>
      </c>
      <c r="H32" s="35">
        <f t="shared" si="4"/>
        <v>96.98577984841111</v>
      </c>
      <c r="I32" s="50">
        <f t="shared" si="1"/>
        <v>-1920.9899999999998</v>
      </c>
      <c r="J32" s="178">
        <f t="shared" si="6"/>
        <v>74.3868</v>
      </c>
      <c r="K32" s="178">
        <f>F32-7368.88</f>
        <v>-1789.87</v>
      </c>
      <c r="L32" s="178">
        <f>F32/7368.88*100</f>
        <v>75.71042003669486</v>
      </c>
      <c r="M32" s="35">
        <f>E32-серпень!E32</f>
        <v>0.2999999999992724</v>
      </c>
      <c r="N32" s="35">
        <f>F32-серпень!F32</f>
        <v>5.050000000000182</v>
      </c>
      <c r="O32" s="47">
        <f t="shared" si="3"/>
        <v>4.7500000000009095</v>
      </c>
      <c r="P32" s="50">
        <f t="shared" si="5"/>
        <v>1683.3333333374767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26650</v>
      </c>
      <c r="F33" s="18">
        <f>F34+F35+F36+F37+F38+F41+F42+F47+F48+F52+F40+F39</f>
        <v>28008.949999999997</v>
      </c>
      <c r="G33" s="44">
        <f t="shared" si="0"/>
        <v>1358.949999999997</v>
      </c>
      <c r="H33" s="45">
        <f>F33/E33*100</f>
        <v>105.09924953095684</v>
      </c>
      <c r="I33" s="31">
        <f t="shared" si="1"/>
        <v>-7630.620000000003</v>
      </c>
      <c r="J33" s="31">
        <f t="shared" si="6"/>
        <v>78.58947231967164</v>
      </c>
      <c r="K33" s="18">
        <f>K34+K35+K36+K37+K38+K41+K42+K47+K48+K52+K40</f>
        <v>18250.260000000002</v>
      </c>
      <c r="L33" s="18"/>
      <c r="M33" s="18">
        <f>M34+M35+M36+M37+M38+M41+M42+M47+M48+M52+M40+M39</f>
        <v>6559.8</v>
      </c>
      <c r="N33" s="18">
        <f>N34+N35+N36+N37+N38+N41+N42+N47+N48+N52+N40+N39</f>
        <v>6401.599999999999</v>
      </c>
      <c r="O33" s="49">
        <f t="shared" si="3"/>
        <v>-158.20000000000073</v>
      </c>
      <c r="P33" s="31">
        <f>N33/M33*100</f>
        <v>97.5883411079606</v>
      </c>
      <c r="Q33" s="31">
        <f>N33-1017.63</f>
        <v>5383.969999999999</v>
      </c>
      <c r="R33" s="127">
        <f>N33/1017.63</f>
        <v>6.290695046333146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f>450+3700</f>
        <v>4150</v>
      </c>
      <c r="F35" s="143">
        <v>4154.01</v>
      </c>
      <c r="G35" s="43">
        <f t="shared" si="0"/>
        <v>4.010000000000218</v>
      </c>
      <c r="H35" s="35"/>
      <c r="I35" s="50">
        <f t="shared" si="1"/>
        <v>-3778.46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3950</v>
      </c>
      <c r="N35" s="35">
        <f>F35-серпень!F35</f>
        <v>3952.6400000000003</v>
      </c>
      <c r="O35" s="47">
        <f t="shared" si="3"/>
        <v>2.6400000000003274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319.89</v>
      </c>
      <c r="G36" s="43">
        <f t="shared" si="0"/>
        <v>79.88999999999999</v>
      </c>
      <c r="H36" s="35"/>
      <c r="I36" s="50">
        <f t="shared" si="1"/>
        <v>79.88999999999999</v>
      </c>
      <c r="J36" s="50"/>
      <c r="K36" s="50">
        <f>F36-272.25</f>
        <v>47.639999999999986</v>
      </c>
      <c r="L36" s="50">
        <f>F36/272.25*100</f>
        <v>117.49862258953168</v>
      </c>
      <c r="M36" s="35">
        <f>E36-серпень!E36</f>
        <v>0</v>
      </c>
      <c r="N36" s="35">
        <f>F36-серпень!F36</f>
        <v>12.689999999999998</v>
      </c>
      <c r="O36" s="47">
        <f t="shared" si="3"/>
        <v>12.689999999999998</v>
      </c>
      <c r="P36" s="50"/>
      <c r="Q36" s="50">
        <f>N36-4.23</f>
        <v>8.459999999999997</v>
      </c>
      <c r="R36" s="126">
        <f>N36/4.23</f>
        <v>2.999999999999999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 t="shared" si="0"/>
        <v>-4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115.41</v>
      </c>
      <c r="G38" s="43">
        <f t="shared" si="0"/>
        <v>10.409999999999997</v>
      </c>
      <c r="H38" s="35">
        <f>F38/E38*100</f>
        <v>109.91428571428573</v>
      </c>
      <c r="I38" s="50">
        <f t="shared" si="1"/>
        <v>-24.590000000000003</v>
      </c>
      <c r="J38" s="50">
        <f t="shared" si="6"/>
        <v>82.43571428571428</v>
      </c>
      <c r="K38" s="50">
        <f>F38-97.95</f>
        <v>17.459999999999994</v>
      </c>
      <c r="L38" s="50">
        <f>F38/97.95*100</f>
        <v>117.82542113323122</v>
      </c>
      <c r="M38" s="35">
        <f>E38-серпень!E38</f>
        <v>15</v>
      </c>
      <c r="N38" s="35">
        <f>F38-серпень!F38</f>
        <v>11.349999999999994</v>
      </c>
      <c r="O38" s="47">
        <f t="shared" si="3"/>
        <v>-3.6500000000000057</v>
      </c>
      <c r="P38" s="50">
        <f>N38/M38*100</f>
        <v>75.66666666666663</v>
      </c>
      <c r="Q38" s="50">
        <f>N38-9.02</f>
        <v>2.3299999999999947</v>
      </c>
      <c r="R38" s="126">
        <f>N38/9.02</f>
        <v>1.2583148558758308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/>
      <c r="H39" s="35"/>
      <c r="I39" s="50">
        <f>F39-D39</f>
        <v>4</v>
      </c>
      <c r="J39" s="50"/>
      <c r="K39" s="50">
        <f>F39-0</f>
        <v>4</v>
      </c>
      <c r="L39" s="50"/>
      <c r="M39" s="35">
        <f>E39-серпень!E39</f>
        <v>0</v>
      </c>
      <c r="N39" s="35">
        <f>F39-серпень!F39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7485.74</v>
      </c>
      <c r="G40" s="43"/>
      <c r="H40" s="35"/>
      <c r="I40" s="50">
        <f t="shared" si="1"/>
        <v>-1514.2600000000002</v>
      </c>
      <c r="J40" s="50"/>
      <c r="K40" s="50">
        <f>F40-0</f>
        <v>7485.74</v>
      </c>
      <c r="L40" s="50"/>
      <c r="M40" s="35">
        <f>E40-серпень!E40</f>
        <v>1000</v>
      </c>
      <c r="N40" s="35">
        <f>F40-серпень!F40</f>
        <v>713.6899999999996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6785.09</v>
      </c>
      <c r="G41" s="43">
        <f t="shared" si="0"/>
        <v>1565.0900000000001</v>
      </c>
      <c r="H41" s="35">
        <f>F41/E41*100</f>
        <v>129.98256704980844</v>
      </c>
      <c r="I41" s="50">
        <f t="shared" si="1"/>
        <v>-114.90999999999985</v>
      </c>
      <c r="J41" s="50">
        <f t="shared" si="6"/>
        <v>98.33463768115942</v>
      </c>
      <c r="K41" s="50">
        <f>F41-5365.42</f>
        <v>1419.67</v>
      </c>
      <c r="L41" s="50">
        <f>F41/5365.42*100</f>
        <v>126.45962478240287</v>
      </c>
      <c r="M41" s="35">
        <f>E41-серпень!E41</f>
        <v>600</v>
      </c>
      <c r="N41" s="35">
        <f>F41-серпень!F41</f>
        <v>920.2399999999998</v>
      </c>
      <c r="O41" s="47">
        <f t="shared" si="3"/>
        <v>320.2399999999998</v>
      </c>
      <c r="P41" s="50">
        <f>N41/M41*100</f>
        <v>153.3733333333333</v>
      </c>
      <c r="Q41" s="50">
        <f>N41-647.49</f>
        <v>272.7499999999998</v>
      </c>
      <c r="R41" s="126">
        <f>N41/647.49</f>
        <v>1.4212420269038901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5658.21</v>
      </c>
      <c r="G42" s="43">
        <f t="shared" si="0"/>
        <v>-140.78999999999996</v>
      </c>
      <c r="H42" s="35">
        <f>F42/E42*100</f>
        <v>97.57216761510605</v>
      </c>
      <c r="I42" s="50">
        <f t="shared" si="1"/>
        <v>-1441.79</v>
      </c>
      <c r="J42" s="50">
        <f t="shared" si="6"/>
        <v>79.6930985915493</v>
      </c>
      <c r="K42" s="50">
        <f>F42-782.38</f>
        <v>4875.83</v>
      </c>
      <c r="L42" s="50">
        <f>F42/782.38*100</f>
        <v>723.204836524451</v>
      </c>
      <c r="M42" s="35">
        <f>E42-серпень!E42</f>
        <v>604.3000000000002</v>
      </c>
      <c r="N42" s="35">
        <f>F42-серпень!F42</f>
        <v>436.77999999999975</v>
      </c>
      <c r="O42" s="47">
        <f t="shared" si="3"/>
        <v>-167.52000000000044</v>
      </c>
      <c r="P42" s="50">
        <f>N42/M42*100</f>
        <v>72.27866953499911</v>
      </c>
      <c r="Q42" s="50">
        <f>N42-79.51</f>
        <v>357.26999999999975</v>
      </c>
      <c r="R42" s="126">
        <f>N42/79.51</f>
        <v>5.493397056973962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795.86</v>
      </c>
      <c r="G43" s="135">
        <f t="shared" si="0"/>
        <v>-44.139999999999986</v>
      </c>
      <c r="H43" s="137">
        <f>F43/E43*100</f>
        <v>94.7452380952381</v>
      </c>
      <c r="I43" s="136">
        <f t="shared" si="1"/>
        <v>-304.14</v>
      </c>
      <c r="J43" s="136">
        <f t="shared" si="6"/>
        <v>72.35090909090908</v>
      </c>
      <c r="K43" s="136">
        <f>F43-687.25</f>
        <v>108.61000000000001</v>
      </c>
      <c r="L43" s="136">
        <f>F43/687.25*100</f>
        <v>115.80356493270281</v>
      </c>
      <c r="M43" s="35">
        <f>E43-серпень!E43</f>
        <v>80</v>
      </c>
      <c r="N43" s="35">
        <f>F43-серпень!F43</f>
        <v>60.73000000000002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44.07</v>
      </c>
      <c r="G44" s="135">
        <f t="shared" si="0"/>
        <v>-15.93</v>
      </c>
      <c r="H44" s="137"/>
      <c r="I44" s="136">
        <f t="shared" si="1"/>
        <v>-35.93</v>
      </c>
      <c r="J44" s="136"/>
      <c r="K44" s="136">
        <f>F44-0</f>
        <v>44.07</v>
      </c>
      <c r="L44" s="136"/>
      <c r="M44" s="35">
        <f>E44-серпень!E44</f>
        <v>10</v>
      </c>
      <c r="N44" s="35">
        <f>F44-серпень!F44</f>
        <v>-1.3800000000000026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 t="shared" si="0"/>
        <v>-0.25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4817.53</v>
      </c>
      <c r="G46" s="135">
        <f t="shared" si="0"/>
        <v>-80.47000000000025</v>
      </c>
      <c r="H46" s="137">
        <f>F46/E46*100</f>
        <v>98.35708452429563</v>
      </c>
      <c r="I46" s="136">
        <f t="shared" si="1"/>
        <v>-1100.4700000000003</v>
      </c>
      <c r="J46" s="136">
        <f t="shared" si="6"/>
        <v>81.40469753295032</v>
      </c>
      <c r="K46" s="136">
        <f>F46-95.13</f>
        <v>4722.4</v>
      </c>
      <c r="L46" s="136">
        <f>F46/95.13*100</f>
        <v>5064.154315147693</v>
      </c>
      <c r="M46" s="35">
        <f>E46-серпень!E46</f>
        <v>514</v>
      </c>
      <c r="N46" s="35">
        <f>F46-серпень!F46</f>
        <v>377.4200000000001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E47-серпень!E47</f>
        <v>0</v>
      </c>
      <c r="N47" s="35">
        <f>F47-серпень!F47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3546.36</v>
      </c>
      <c r="G48" s="43">
        <f t="shared" si="0"/>
        <v>456.3600000000001</v>
      </c>
      <c r="H48" s="35">
        <f>F48/E48*100</f>
        <v>114.76893203883496</v>
      </c>
      <c r="I48" s="50">
        <f t="shared" si="1"/>
        <v>-653.6399999999999</v>
      </c>
      <c r="J48" s="50">
        <f>F48/D48*100</f>
        <v>84.43714285714286</v>
      </c>
      <c r="K48" s="50">
        <f>F48-3093.83</f>
        <v>452.5300000000002</v>
      </c>
      <c r="L48" s="50">
        <f>F48/3093.83*100</f>
        <v>114.62685409346992</v>
      </c>
      <c r="M48" s="35">
        <f>E48-серпень!E48</f>
        <v>390</v>
      </c>
      <c r="N48" s="35">
        <f>F48-серпень!F48</f>
        <v>353.71000000000004</v>
      </c>
      <c r="O48" s="47">
        <f t="shared" si="3"/>
        <v>-36.289999999999964</v>
      </c>
      <c r="P48" s="50">
        <f aca="true" t="shared" si="7" ref="P48:P53">N48/M48*100</f>
        <v>90.6948717948718</v>
      </c>
      <c r="Q48" s="50">
        <f>N48-277.38</f>
        <v>76.33000000000004</v>
      </c>
      <c r="R48" s="126">
        <f>N48/277.38</f>
        <v>1.2751820607109383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978.3</v>
      </c>
      <c r="G51" s="135">
        <f t="shared" si="0"/>
        <v>978.3</v>
      </c>
      <c r="H51" s="137"/>
      <c r="I51" s="136">
        <f t="shared" si="1"/>
        <v>978.3</v>
      </c>
      <c r="J51" s="136"/>
      <c r="K51" s="219">
        <f>F51-758.38</f>
        <v>219.91999999999996</v>
      </c>
      <c r="L51" s="219">
        <f>F51/758.38*100</f>
        <v>128.99865502782245</v>
      </c>
      <c r="M51" s="35">
        <f>E51-серпень!E51</f>
        <v>0</v>
      </c>
      <c r="N51" s="35">
        <f>F51-серпень!F51</f>
        <v>87.69999999999993</v>
      </c>
      <c r="O51" s="138">
        <f t="shared" si="3"/>
        <v>87.69999999999993</v>
      </c>
      <c r="P51" s="136"/>
      <c r="Q51" s="50">
        <f>N51-64.93</f>
        <v>22.769999999999925</v>
      </c>
      <c r="R51" s="126">
        <f>N51/64.93</f>
        <v>1.3506853534575685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E52-серпень!E52</f>
        <v>0</v>
      </c>
      <c r="N52" s="35">
        <f>F52-серпень!F52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 t="shared" si="0"/>
        <v>-4.979999999999999</v>
      </c>
      <c r="H53" s="35">
        <f>F53/E53*100</f>
        <v>74.3298969072165</v>
      </c>
      <c r="I53" s="50">
        <f t="shared" si="1"/>
        <v>-12.08</v>
      </c>
      <c r="J53" s="50">
        <f>F53/D53*100</f>
        <v>54.41509433962264</v>
      </c>
      <c r="K53" s="50">
        <f>F53-19.9</f>
        <v>-5.479999999999999</v>
      </c>
      <c r="L53" s="50">
        <f>F53/19.9*100</f>
        <v>72.46231155778895</v>
      </c>
      <c r="M53" s="35">
        <f>E53-серпень!E53</f>
        <v>2.1999999999999993</v>
      </c>
      <c r="N53" s="35">
        <f>F53-серпень!F53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485421.9</v>
      </c>
      <c r="F55" s="18">
        <f>F8+F33+F53+F54</f>
        <v>491885.31000000006</v>
      </c>
      <c r="G55" s="44">
        <f>F55-E55</f>
        <v>6463.410000000033</v>
      </c>
      <c r="H55" s="45">
        <f>F55/E55*100</f>
        <v>101.33150358481973</v>
      </c>
      <c r="I55" s="31">
        <f>F55-D55</f>
        <v>-116069.7599999999</v>
      </c>
      <c r="J55" s="31">
        <f>F55/D55*100</f>
        <v>80.90816809867218</v>
      </c>
      <c r="K55" s="31">
        <f>K8+K33+K53+K54</f>
        <v>123122.50600000004</v>
      </c>
      <c r="L55" s="31">
        <f>F55/(F55-K55)*100</f>
        <v>133.38799484776672</v>
      </c>
      <c r="M55" s="18">
        <f>M8+M33+M53+M54</f>
        <v>52238.399999999994</v>
      </c>
      <c r="N55" s="18">
        <f>N8+N33+N53+N54</f>
        <v>40751.12000000003</v>
      </c>
      <c r="O55" s="49">
        <f>N55-M55</f>
        <v>-11487.279999999962</v>
      </c>
      <c r="P55" s="31">
        <f>N55/M55*100</f>
        <v>78.00989310545506</v>
      </c>
      <c r="Q55" s="31">
        <f>N55-34768</f>
        <v>5983.120000000032</v>
      </c>
      <c r="R55" s="171">
        <f>N55/34768</f>
        <v>1.1720869765301436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 aca="true" t="shared" si="8" ref="G61:G68">F61-E61</f>
        <v>-51.7</v>
      </c>
      <c r="H61" s="35"/>
      <c r="I61" s="53">
        <f aca="true" t="shared" si="9" ref="I61:I68">F61-D61</f>
        <v>-51.7</v>
      </c>
      <c r="J61" s="53"/>
      <c r="K61" s="47">
        <f>F61-237.16</f>
        <v>-288.86</v>
      </c>
      <c r="L61" s="53"/>
      <c r="M61" s="35">
        <v>0</v>
      </c>
      <c r="N61" s="36">
        <f>F61-липень!F61</f>
        <v>-2.510000000000005</v>
      </c>
      <c r="O61" s="47">
        <f aca="true" t="shared" si="10" ref="O61:O68">N61-M61</f>
        <v>-2.510000000000005</v>
      </c>
      <c r="P61" s="53"/>
      <c r="Q61" s="53">
        <f>N61-24.53</f>
        <v>-27.040000000000006</v>
      </c>
      <c r="R61" s="129">
        <f>N61/24.53</f>
        <v>-0.10232368528332675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 t="shared" si="8"/>
        <v>-51.7</v>
      </c>
      <c r="H62" s="65"/>
      <c r="I62" s="54">
        <f t="shared" si="9"/>
        <v>-51.7</v>
      </c>
      <c r="J62" s="54"/>
      <c r="K62" s="54">
        <f>K60+K61</f>
        <v>-288.86</v>
      </c>
      <c r="L62" s="54"/>
      <c r="M62" s="55">
        <f>M61</f>
        <v>0</v>
      </c>
      <c r="N62" s="33">
        <f>SUM(N60:N61)</f>
        <v>-2.510000000000005</v>
      </c>
      <c r="O62" s="54">
        <f t="shared" si="10"/>
        <v>-2.510000000000005</v>
      </c>
      <c r="P62" s="54"/>
      <c r="Q62" s="54">
        <f>N62-92.85</f>
        <v>-95.36</v>
      </c>
      <c r="R62" s="130">
        <f>N62/92.85</f>
        <v>-0.0270328486806678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593.09</v>
      </c>
      <c r="G64" s="43">
        <f t="shared" si="8"/>
        <v>-1006.91</v>
      </c>
      <c r="H64" s="35"/>
      <c r="I64" s="53">
        <f t="shared" si="9"/>
        <v>-1906.9099999999999</v>
      </c>
      <c r="J64" s="53">
        <f t="shared" si="11"/>
        <v>23.7236</v>
      </c>
      <c r="K64" s="53">
        <f>F64-1754.73</f>
        <v>-1161.6399999999999</v>
      </c>
      <c r="L64" s="53">
        <f>F64/1754.73*100</f>
        <v>33.79950191767394</v>
      </c>
      <c r="M64" s="35">
        <f>E64-серпень!E64</f>
        <v>600</v>
      </c>
      <c r="N64" s="35">
        <f>F64-серпень!F64</f>
        <v>0.07000000000005002</v>
      </c>
      <c r="O64" s="47">
        <f t="shared" si="10"/>
        <v>-599.93</v>
      </c>
      <c r="P64" s="53"/>
      <c r="Q64" s="53">
        <f>N64-0.04</f>
        <v>0.03000000000005002</v>
      </c>
      <c r="R64" s="129">
        <f>N64/0.04</f>
        <v>1.7500000000012506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5462.16</v>
      </c>
      <c r="F65" s="146">
        <v>3954.75</v>
      </c>
      <c r="G65" s="43">
        <f t="shared" si="8"/>
        <v>-1507.4099999999999</v>
      </c>
      <c r="H65" s="35">
        <f>F65/E65*100</f>
        <v>72.40267586449318</v>
      </c>
      <c r="I65" s="53">
        <f t="shared" si="9"/>
        <v>-7621.25</v>
      </c>
      <c r="J65" s="53">
        <f t="shared" si="11"/>
        <v>34.16335521769177</v>
      </c>
      <c r="K65" s="53">
        <f>F65-2393.24</f>
        <v>1561.5100000000002</v>
      </c>
      <c r="L65" s="53">
        <f>F65/2393.24*100</f>
        <v>165.24669485718107</v>
      </c>
      <c r="M65" s="35">
        <f>E65-серпень!E65</f>
        <v>728.7200000000003</v>
      </c>
      <c r="N65" s="35">
        <f>F65-серпень!F65</f>
        <v>196.11000000000013</v>
      </c>
      <c r="O65" s="47">
        <f t="shared" si="10"/>
        <v>-532.6100000000001</v>
      </c>
      <c r="P65" s="53">
        <f>N65/M65*100</f>
        <v>26.911570973762224</v>
      </c>
      <c r="Q65" s="53">
        <f>N65-450.01</f>
        <v>-253.89999999999986</v>
      </c>
      <c r="R65" s="129">
        <f>N65/450.01</f>
        <v>0.43579031577076094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1184.8</v>
      </c>
      <c r="F66" s="146">
        <v>1859.08</v>
      </c>
      <c r="G66" s="43">
        <f t="shared" si="8"/>
        <v>674.28</v>
      </c>
      <c r="H66" s="35">
        <f>F66/E66*100</f>
        <v>156.91087103308575</v>
      </c>
      <c r="I66" s="53">
        <f t="shared" si="9"/>
        <v>-1140.92</v>
      </c>
      <c r="J66" s="53">
        <f t="shared" si="11"/>
        <v>61.96933333333333</v>
      </c>
      <c r="K66" s="53">
        <f>F66-1074.91</f>
        <v>784.1699999999998</v>
      </c>
      <c r="L66" s="53">
        <f>F66/1074.91*100</f>
        <v>172.95215413383445</v>
      </c>
      <c r="M66" s="35">
        <f>E66-серпень!E66</f>
        <v>148.0999999999999</v>
      </c>
      <c r="N66" s="35">
        <f>F66-серпень!F66</f>
        <v>20.439999999999827</v>
      </c>
      <c r="O66" s="47">
        <f t="shared" si="10"/>
        <v>-127.66000000000008</v>
      </c>
      <c r="P66" s="53">
        <f>N66/M66*100</f>
        <v>13.801485482781795</v>
      </c>
      <c r="Q66" s="53">
        <f>N66-1.05</f>
        <v>19.389999999999826</v>
      </c>
      <c r="R66" s="129">
        <f>N66/1.05</f>
        <v>19.4666666666665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6406.92</v>
      </c>
      <c r="G67" s="55">
        <f t="shared" si="8"/>
        <v>-1840.039999999999</v>
      </c>
      <c r="H67" s="65">
        <f>F67/E67*100</f>
        <v>77.68826331157179</v>
      </c>
      <c r="I67" s="54">
        <f t="shared" si="9"/>
        <v>-10669.08</v>
      </c>
      <c r="J67" s="54">
        <f t="shared" si="11"/>
        <v>37.520028109627546</v>
      </c>
      <c r="K67" s="54">
        <f>K64+K65+K66</f>
        <v>1184.0400000000002</v>
      </c>
      <c r="L67" s="54"/>
      <c r="M67" s="55">
        <f>M64+M65+M66</f>
        <v>1476.8200000000002</v>
      </c>
      <c r="N67" s="55">
        <f>N64+N65+N66</f>
        <v>216.62</v>
      </c>
      <c r="O67" s="54">
        <f t="shared" si="10"/>
        <v>-1260.2000000000003</v>
      </c>
      <c r="P67" s="54">
        <f>N67/M67*100</f>
        <v>14.668002871033705</v>
      </c>
      <c r="Q67" s="54">
        <f>N67-7985.28</f>
        <v>-7768.66</v>
      </c>
      <c r="R67" s="173">
        <f>N67/7985.28</f>
        <v>0.027127414442574337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25</v>
      </c>
      <c r="F68" s="146">
        <v>0.35</v>
      </c>
      <c r="G68" s="43">
        <f t="shared" si="8"/>
        <v>-24.65</v>
      </c>
      <c r="H68" s="35"/>
      <c r="I68" s="53">
        <f t="shared" si="9"/>
        <v>-34.65</v>
      </c>
      <c r="J68" s="53">
        <f t="shared" si="11"/>
        <v>1</v>
      </c>
      <c r="K68" s="53">
        <f>F68-24.17</f>
        <v>-23.82</v>
      </c>
      <c r="L68" s="53">
        <f>F68/24.17*100</f>
        <v>1.448076127430699</v>
      </c>
      <c r="M68" s="35">
        <f>E68-серпень!E68</f>
        <v>10</v>
      </c>
      <c r="N68" s="35">
        <f>F68-серпень!F68</f>
        <v>0.16999999999999998</v>
      </c>
      <c r="O68" s="47">
        <f t="shared" si="10"/>
        <v>-9.83</v>
      </c>
      <c r="P68" s="53"/>
      <c r="Q68" s="53">
        <f>N68-0.16</f>
        <v>0.009999999999999981</v>
      </c>
      <c r="R68" s="129">
        <f>N68/0.16</f>
        <v>1.0624999999999998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F70-1.08</f>
        <v>-0.20000000000000007</v>
      </c>
      <c r="L70" s="53">
        <f>F70/1.08*100</f>
        <v>81.48148148148148</v>
      </c>
      <c r="M70" s="35">
        <f>E70-серпень!E70</f>
        <v>0</v>
      </c>
      <c r="N70" s="35">
        <f>F70-серпень!F70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1.23</v>
      </c>
      <c r="G71" s="55">
        <f>F71-E71</f>
        <v>-35.77</v>
      </c>
      <c r="H71" s="65"/>
      <c r="I71" s="54">
        <f>F71-D71</f>
        <v>-52.77</v>
      </c>
      <c r="J71" s="54">
        <f>F71/D71*100</f>
        <v>2.2777777777777777</v>
      </c>
      <c r="K71" s="54">
        <f>K68+K69+K70</f>
        <v>-43.5</v>
      </c>
      <c r="L71" s="54"/>
      <c r="M71" s="55">
        <f>M68+M70+M69</f>
        <v>10</v>
      </c>
      <c r="N71" s="55">
        <f>N68+N70+N69</f>
        <v>0.16999999999999998</v>
      </c>
      <c r="O71" s="54">
        <f>N71-M71</f>
        <v>-9.83</v>
      </c>
      <c r="P71" s="54"/>
      <c r="Q71" s="54">
        <f>N71-26.38</f>
        <v>-26.209999999999997</v>
      </c>
      <c r="R71" s="128">
        <f>N71/26.38</f>
        <v>0.006444275966641395</v>
      </c>
    </row>
    <row r="72" spans="2:18" ht="31.5">
      <c r="B72" s="14" t="s">
        <v>125</v>
      </c>
      <c r="C72" s="59">
        <v>24110900</v>
      </c>
      <c r="D72" s="28">
        <v>42</v>
      </c>
      <c r="E72" s="28">
        <v>32.22</v>
      </c>
      <c r="F72" s="146">
        <v>26.86</v>
      </c>
      <c r="G72" s="43">
        <f>F72-E72</f>
        <v>-5.359999999999999</v>
      </c>
      <c r="H72" s="35">
        <f>F72/E72*100</f>
        <v>83.36436995654873</v>
      </c>
      <c r="I72" s="53">
        <f>F72-D72</f>
        <v>-15.14</v>
      </c>
      <c r="J72" s="53">
        <f>F72/D72*100</f>
        <v>63.95238095238095</v>
      </c>
      <c r="K72" s="53">
        <f>F72-31.86</f>
        <v>-5</v>
      </c>
      <c r="L72" s="53">
        <f>F72/31.86*100</f>
        <v>84.30634023854363</v>
      </c>
      <c r="M72" s="35">
        <f>E72-серпень!E72</f>
        <v>9</v>
      </c>
      <c r="N72" s="35">
        <f>F72-серпень!F72</f>
        <v>5.800000000000001</v>
      </c>
      <c r="O72" s="47">
        <f>N72-M72</f>
        <v>-3.1999999999999993</v>
      </c>
      <c r="P72" s="53">
        <f>N72/M72*100</f>
        <v>64.44444444444444</v>
      </c>
      <c r="Q72" s="53">
        <f>N72-0.45</f>
        <v>5.3500000000000005</v>
      </c>
      <c r="R72" s="129">
        <f>N72/0.45</f>
        <v>12.88888888888889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6383.509999999999</v>
      </c>
      <c r="G74" s="44">
        <f>F74-E74</f>
        <v>-1932.6699999999992</v>
      </c>
      <c r="H74" s="45">
        <f>F74/E74*100</f>
        <v>76.7601230372599</v>
      </c>
      <c r="I74" s="31">
        <f>F74-D74</f>
        <v>-10788.490000000002</v>
      </c>
      <c r="J74" s="31">
        <f>F74/D74*100</f>
        <v>37.173945958537146</v>
      </c>
      <c r="K74" s="31">
        <f>K62+K67+K71+K72</f>
        <v>846.6800000000002</v>
      </c>
      <c r="L74" s="31"/>
      <c r="M74" s="27">
        <f>M62+M72+M67+M71</f>
        <v>1495.8200000000002</v>
      </c>
      <c r="N74" s="27">
        <f>N62+N72+N67+N71+N73</f>
        <v>220.07999999999998</v>
      </c>
      <c r="O74" s="31">
        <f>N74-M74</f>
        <v>-1275.7400000000002</v>
      </c>
      <c r="P74" s="31">
        <f>N74/M74*100</f>
        <v>14.713000227300075</v>
      </c>
      <c r="Q74" s="31">
        <f>N74-8104.96</f>
        <v>-7884.88</v>
      </c>
      <c r="R74" s="127">
        <f>N74/8104.96</f>
        <v>0.02715374289324068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493738.08</v>
      </c>
      <c r="F75" s="27">
        <f>F55+F74</f>
        <v>498268.82000000007</v>
      </c>
      <c r="G75" s="44">
        <f>F75-E75</f>
        <v>4530.740000000049</v>
      </c>
      <c r="H75" s="45">
        <f>F75/E75*100</f>
        <v>100.91764038131312</v>
      </c>
      <c r="I75" s="31">
        <f>F75-D75</f>
        <v>-126858.24999999988</v>
      </c>
      <c r="J75" s="31">
        <f>F75/D75*100</f>
        <v>79.70680584988907</v>
      </c>
      <c r="K75" s="31">
        <f>K55+K74</f>
        <v>123969.18600000003</v>
      </c>
      <c r="L75" s="31">
        <f>F75/(F75-K75)*100</f>
        <v>133.12030649754792</v>
      </c>
      <c r="M75" s="18">
        <f>M55+M74</f>
        <v>53734.219999999994</v>
      </c>
      <c r="N75" s="18">
        <f>N55+N74</f>
        <v>40971.20000000003</v>
      </c>
      <c r="O75" s="31">
        <f>N75-M75</f>
        <v>-12763.01999999996</v>
      </c>
      <c r="P75" s="31">
        <f>N75/M75*100</f>
        <v>76.24787332913743</v>
      </c>
      <c r="Q75" s="31">
        <f>N75-42872.96</f>
        <v>-1901.7599999999657</v>
      </c>
      <c r="R75" s="127">
        <f>N75/42872.96</f>
        <v>0.9556419710698779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3</v>
      </c>
      <c r="D77" s="4" t="s">
        <v>118</v>
      </c>
    </row>
    <row r="78" spans="2:17" ht="31.5">
      <c r="B78" s="71" t="s">
        <v>154</v>
      </c>
      <c r="C78" s="34">
        <f>IF(O55&lt;0,ABS(O55/C77),0)</f>
        <v>3829.093333333321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42272</v>
      </c>
      <c r="D79" s="34">
        <v>2375.2</v>
      </c>
      <c r="G79" s="4" t="s">
        <v>166</v>
      </c>
      <c r="N79" s="252"/>
      <c r="O79" s="252"/>
    </row>
    <row r="80" spans="3:15" ht="15.75">
      <c r="C80" s="111">
        <v>42271</v>
      </c>
      <c r="D80" s="34">
        <v>1309.2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42270</v>
      </c>
      <c r="D81" s="34">
        <v>2692.9</v>
      </c>
      <c r="F81" s="90"/>
      <c r="G81" s="253"/>
      <c r="H81" s="253"/>
      <c r="I81" s="177"/>
      <c r="J81" s="258"/>
      <c r="K81" s="258"/>
      <c r="L81" s="258"/>
      <c r="M81" s="258"/>
      <c r="N81" s="252"/>
      <c r="O81" s="252"/>
    </row>
    <row r="82" spans="3:13" ht="15.75" customHeight="1">
      <c r="C82" s="111"/>
      <c r="F82" s="90"/>
      <c r="G82" s="259"/>
      <c r="H82" s="259"/>
      <c r="I82" s="221"/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8.04664</v>
      </c>
      <c r="E83" s="220"/>
      <c r="F83" s="222"/>
      <c r="G83" s="253"/>
      <c r="H83" s="253"/>
      <c r="I83" s="223"/>
      <c r="J83" s="254"/>
      <c r="K83" s="254"/>
      <c r="L83" s="254"/>
      <c r="M83" s="254"/>
    </row>
    <row r="84" spans="6:12" ht="9.75" customHeight="1">
      <c r="F84" s="90"/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F85" s="90"/>
      <c r="G85" s="253"/>
      <c r="H85" s="253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8" right="0.25" top="0.27" bottom="0.36" header="0.2" footer="0.29"/>
  <pageSetup fitToHeight="1" fitToWidth="1" horizontalDpi="600" verticalDpi="600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28" t="s">
        <v>193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 t="s">
        <v>203</v>
      </c>
      <c r="C3" s="233" t="s">
        <v>0</v>
      </c>
      <c r="D3" s="234" t="s">
        <v>190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187</v>
      </c>
      <c r="N3" s="241" t="s">
        <v>175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153</v>
      </c>
      <c r="F4" s="243" t="s">
        <v>116</v>
      </c>
      <c r="G4" s="245" t="s">
        <v>173</v>
      </c>
      <c r="H4" s="280" t="s">
        <v>174</v>
      </c>
      <c r="I4" s="278" t="s">
        <v>186</v>
      </c>
      <c r="J4" s="276" t="s">
        <v>189</v>
      </c>
      <c r="K4" s="116" t="s">
        <v>172</v>
      </c>
      <c r="L4" s="121" t="s">
        <v>171</v>
      </c>
      <c r="M4" s="239"/>
      <c r="N4" s="255" t="s">
        <v>194</v>
      </c>
      <c r="O4" s="278" t="s">
        <v>136</v>
      </c>
      <c r="P4" s="241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81"/>
      <c r="I5" s="279"/>
      <c r="J5" s="277"/>
      <c r="K5" s="226" t="s">
        <v>188</v>
      </c>
      <c r="L5" s="227"/>
      <c r="M5" s="240"/>
      <c r="N5" s="256"/>
      <c r="O5" s="279"/>
      <c r="P5" s="241"/>
      <c r="Q5" s="226" t="s">
        <v>176</v>
      </c>
      <c r="R5" s="227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51"/>
      <c r="H137" s="251"/>
      <c r="I137" s="251"/>
      <c r="J137" s="251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52"/>
      <c r="O138" s="252"/>
    </row>
    <row r="139" spans="3:15" ht="15.75">
      <c r="C139" s="111">
        <v>42033</v>
      </c>
      <c r="D139" s="34">
        <v>2896.5</v>
      </c>
      <c r="F139" s="155" t="s">
        <v>166</v>
      </c>
      <c r="G139" s="265" t="s">
        <v>151</v>
      </c>
      <c r="H139" s="265"/>
      <c r="I139" s="106">
        <f>8909.733</f>
        <v>8909.733</v>
      </c>
      <c r="J139" s="274" t="s">
        <v>161</v>
      </c>
      <c r="K139" s="274"/>
      <c r="L139" s="274"/>
      <c r="M139" s="274"/>
      <c r="N139" s="252"/>
      <c r="O139" s="252"/>
    </row>
    <row r="140" spans="3:15" ht="15.75">
      <c r="C140" s="111">
        <v>42032</v>
      </c>
      <c r="D140" s="34">
        <v>2838.1</v>
      </c>
      <c r="G140" s="273" t="s">
        <v>155</v>
      </c>
      <c r="H140" s="273"/>
      <c r="I140" s="103">
        <v>0</v>
      </c>
      <c r="J140" s="275" t="s">
        <v>162</v>
      </c>
      <c r="K140" s="275"/>
      <c r="L140" s="275"/>
      <c r="M140" s="275"/>
      <c r="N140" s="252"/>
      <c r="O140" s="252"/>
    </row>
    <row r="141" spans="7:13" ht="15.75" customHeight="1">
      <c r="G141" s="265" t="s">
        <v>148</v>
      </c>
      <c r="H141" s="265"/>
      <c r="I141" s="103">
        <v>0</v>
      </c>
      <c r="J141" s="274" t="s">
        <v>163</v>
      </c>
      <c r="K141" s="274"/>
      <c r="L141" s="274"/>
      <c r="M141" s="274"/>
    </row>
    <row r="142" spans="2:13" ht="18.75" customHeight="1">
      <c r="B142" s="260" t="s">
        <v>160</v>
      </c>
      <c r="C142" s="261"/>
      <c r="D142" s="108">
        <f>132375.63</f>
        <v>132375.63</v>
      </c>
      <c r="E142" s="73"/>
      <c r="F142" s="156" t="s">
        <v>147</v>
      </c>
      <c r="G142" s="265" t="s">
        <v>149</v>
      </c>
      <c r="H142" s="265"/>
      <c r="I142" s="107">
        <f>123465.893</f>
        <v>123465.893</v>
      </c>
      <c r="J142" s="274" t="s">
        <v>164</v>
      </c>
      <c r="K142" s="274"/>
      <c r="L142" s="274"/>
      <c r="M142" s="274"/>
    </row>
    <row r="143" spans="7:12" ht="9.75" customHeight="1">
      <c r="G143" s="253"/>
      <c r="H143" s="253"/>
      <c r="I143" s="90"/>
      <c r="J143" s="91"/>
      <c r="K143" s="91"/>
      <c r="L143" s="91"/>
    </row>
    <row r="144" spans="2:12" ht="22.5" customHeight="1" hidden="1">
      <c r="B144" s="262" t="s">
        <v>167</v>
      </c>
      <c r="C144" s="263"/>
      <c r="D144" s="110">
        <v>0</v>
      </c>
      <c r="E144" s="70" t="s">
        <v>104</v>
      </c>
      <c r="G144" s="253"/>
      <c r="H144" s="253"/>
      <c r="I144" s="90"/>
      <c r="J144" s="91"/>
      <c r="K144" s="91"/>
      <c r="L144" s="91"/>
    </row>
    <row r="145" spans="4:15" ht="15.75">
      <c r="D145" s="105"/>
      <c r="N145" s="253"/>
      <c r="O145" s="253"/>
    </row>
    <row r="146" spans="4:15" ht="15.75">
      <c r="D146" s="104"/>
      <c r="I146" s="34"/>
      <c r="N146" s="264"/>
      <c r="O146" s="264"/>
    </row>
    <row r="147" spans="14:15" ht="15.75">
      <c r="N147" s="253"/>
      <c r="O147" s="253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296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293</v>
      </c>
      <c r="N3" s="241" t="s">
        <v>294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291</v>
      </c>
      <c r="F4" s="243" t="s">
        <v>116</v>
      </c>
      <c r="G4" s="245" t="s">
        <v>292</v>
      </c>
      <c r="H4" s="247" t="s">
        <v>301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297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295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 aca="true" t="shared" si="0" ref="G8:G54">F8-E8</f>
        <v>16436.010000000126</v>
      </c>
      <c r="H8" s="45">
        <f>F8/E8*100</f>
        <v>103.97893027459108</v>
      </c>
      <c r="I8" s="31">
        <f aca="true" t="shared" si="1" ref="I8:I54">F8-D8</f>
        <v>-142776.88999999996</v>
      </c>
      <c r="J8" s="31">
        <f aca="true" t="shared" si="2" ref="J8:J14">F8/D8*100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 aca="true" t="shared" si="3" ref="O8:O54">N8-M8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233711.01</v>
      </c>
      <c r="G9" s="43">
        <f t="shared" si="0"/>
        <v>11186.360000000015</v>
      </c>
      <c r="H9" s="35">
        <f aca="true" t="shared" si="4" ref="H9:H32">F9/E9*100</f>
        <v>105.02702060198726</v>
      </c>
      <c r="I9" s="50">
        <f t="shared" si="1"/>
        <v>-78978.98999999999</v>
      </c>
      <c r="J9" s="50">
        <f t="shared" si="2"/>
        <v>74.74208001535067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 t="shared" si="3"/>
        <v>-3943.429999999993</v>
      </c>
      <c r="P9" s="50">
        <f aca="true" t="shared" si="5" ref="P9:P32">N9/M9*100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206618.21</v>
      </c>
      <c r="G10" s="135">
        <f t="shared" si="0"/>
        <v>10617.959999999992</v>
      </c>
      <c r="H10" s="137">
        <f t="shared" si="4"/>
        <v>105.4173196207658</v>
      </c>
      <c r="I10" s="136">
        <f t="shared" si="1"/>
        <v>-33791.79000000001</v>
      </c>
      <c r="J10" s="136">
        <f t="shared" si="2"/>
        <v>85.94409966307558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 t="shared" si="3"/>
        <v>-4221.760000000009</v>
      </c>
      <c r="P10" s="136">
        <f t="shared" si="5"/>
        <v>86.27962300942474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12408.56</v>
      </c>
      <c r="G11" s="135">
        <f t="shared" si="0"/>
        <v>-2279.4400000000005</v>
      </c>
      <c r="H11" s="137">
        <f t="shared" si="4"/>
        <v>84.48093681917211</v>
      </c>
      <c r="I11" s="136">
        <f t="shared" si="1"/>
        <v>-11291.44</v>
      </c>
      <c r="J11" s="136">
        <f t="shared" si="2"/>
        <v>52.356793248945145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 t="shared" si="3"/>
        <v>-362.8299999999999</v>
      </c>
      <c r="P11" s="136">
        <f t="shared" si="5"/>
        <v>81.67525252525253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 t="shared" si="0"/>
        <v>82.36000000000013</v>
      </c>
      <c r="H12" s="137">
        <f t="shared" si="4"/>
        <v>102.53493382579255</v>
      </c>
      <c r="I12" s="136">
        <f t="shared" si="1"/>
        <v>-2468.64</v>
      </c>
      <c r="J12" s="136">
        <f t="shared" si="2"/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 t="shared" si="3"/>
        <v>-141.55999999999995</v>
      </c>
      <c r="P12" s="136">
        <f t="shared" si="5"/>
        <v>66.2952380952381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 t="shared" si="0"/>
        <v>-796.6700000000001</v>
      </c>
      <c r="H13" s="137">
        <f t="shared" si="4"/>
        <v>86.2010253923165</v>
      </c>
      <c r="I13" s="136">
        <f t="shared" si="1"/>
        <v>-3423.2700000000004</v>
      </c>
      <c r="J13" s="136">
        <f t="shared" si="2"/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 t="shared" si="3"/>
        <v>256.7099999999996</v>
      </c>
      <c r="P13" s="136">
        <f t="shared" si="5"/>
        <v>138.8954545454545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-734.58</v>
      </c>
      <c r="J15" s="50" t="e">
        <f>F15/D15*100</f>
        <v>#DIV/0!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 t="shared" si="0"/>
        <v>-45.08999999999651</v>
      </c>
      <c r="H19" s="35">
        <f t="shared" si="4"/>
        <v>99.89734249335483</v>
      </c>
      <c r="I19" s="50">
        <f t="shared" si="1"/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 t="shared" si="3"/>
        <v>-10946.949999999997</v>
      </c>
      <c r="P19" s="50">
        <f t="shared" si="5"/>
        <v>38.15282485875708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 t="shared" si="0"/>
        <v>6375.869999999995</v>
      </c>
      <c r="H20" s="35">
        <f t="shared" si="4"/>
        <v>104.53178318927189</v>
      </c>
      <c r="I20" s="50">
        <f t="shared" si="1"/>
        <v>-42801.830000000016</v>
      </c>
      <c r="J20" s="178">
        <f aca="true" t="shared" si="6" ref="J20:J46">F20/D20*100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 t="shared" si="3"/>
        <v>-7121.420000000013</v>
      </c>
      <c r="P20" s="50">
        <f t="shared" si="5"/>
        <v>77.19876026971814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 t="shared" si="0"/>
        <v>2618.5800000000017</v>
      </c>
      <c r="H21" s="35">
        <f t="shared" si="4"/>
        <v>103.39280878669817</v>
      </c>
      <c r="I21" s="50">
        <f t="shared" si="1"/>
        <v>-30501.119999999995</v>
      </c>
      <c r="J21" s="178">
        <f t="shared" si="6"/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 t="shared" si="3"/>
        <v>-7745.399999999994</v>
      </c>
      <c r="P21" s="50">
        <f t="shared" si="5"/>
        <v>60.637492313399875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 t="shared" si="0"/>
        <v>50.44000000000051</v>
      </c>
      <c r="H22" s="137">
        <f t="shared" si="4"/>
        <v>100.58492688413949</v>
      </c>
      <c r="I22" s="136">
        <f t="shared" si="1"/>
        <v>-2026.2600000000002</v>
      </c>
      <c r="J22" s="136">
        <f t="shared" si="6"/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 t="shared" si="3"/>
        <v>-7826.349999999999</v>
      </c>
      <c r="P22" s="136">
        <f t="shared" si="5"/>
        <v>2.7069529220173796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 t="shared" si="0"/>
        <v>1638.9499999999998</v>
      </c>
      <c r="H23" s="137"/>
      <c r="I23" s="136">
        <f t="shared" si="1"/>
        <v>1016.9499999999998</v>
      </c>
      <c r="J23" s="136">
        <f t="shared" si="6"/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 t="shared" si="3"/>
        <v>1240.75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 t="shared" si="0"/>
        <v>929.1900000000023</v>
      </c>
      <c r="H24" s="137">
        <f t="shared" si="4"/>
        <v>101.38521743019425</v>
      </c>
      <c r="I24" s="136">
        <f t="shared" si="1"/>
        <v>-29491.809999999998</v>
      </c>
      <c r="J24" s="136">
        <f t="shared" si="6"/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 t="shared" si="3"/>
        <v>-1159.7999999999956</v>
      </c>
      <c r="P24" s="136">
        <f t="shared" si="5"/>
        <v>88.98575498575502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 t="shared" si="0"/>
        <v>13.350000000000001</v>
      </c>
      <c r="H25" s="35">
        <f t="shared" si="4"/>
        <v>137.6056338028169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 t="shared" si="3"/>
        <v>1.6900000000000048</v>
      </c>
      <c r="P25" s="50">
        <f t="shared" si="5"/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 t="shared" si="0"/>
        <v>-614.57</v>
      </c>
      <c r="H26" s="35"/>
      <c r="I26" s="50">
        <f t="shared" si="1"/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 t="shared" si="3"/>
        <v>-84.21000000000004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 t="shared" si="0"/>
        <v>4358.509999999995</v>
      </c>
      <c r="H27" s="35">
        <f t="shared" si="4"/>
        <v>106.8663363607004</v>
      </c>
      <c r="I27" s="50">
        <f t="shared" si="1"/>
        <v>-11664.990000000005</v>
      </c>
      <c r="J27" s="178">
        <f t="shared" si="6"/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 t="shared" si="3"/>
        <v>706.4999999999927</v>
      </c>
      <c r="P27" s="50">
        <f t="shared" si="5"/>
        <v>106.11688311688306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 t="shared" si="0"/>
        <v>1351.3300000000017</v>
      </c>
      <c r="H29" s="137">
        <f t="shared" si="4"/>
        <v>108.6734916559692</v>
      </c>
      <c r="I29" s="136">
        <f t="shared" si="1"/>
        <v>-2268.6699999999983</v>
      </c>
      <c r="J29" s="136">
        <f t="shared" si="6"/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 t="shared" si="3"/>
        <v>512.4700000000012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 t="shared" si="0"/>
        <v>2991.5699999999997</v>
      </c>
      <c r="H30" s="137">
        <f t="shared" si="4"/>
        <v>106.245905233159</v>
      </c>
      <c r="I30" s="136">
        <f t="shared" si="1"/>
        <v>-9411.93</v>
      </c>
      <c r="J30" s="136">
        <f t="shared" si="6"/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 t="shared" si="3"/>
        <v>187.02999999999884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 t="shared" si="3"/>
        <v>7.009999999999998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 t="shared" si="0"/>
        <v>1517.1500000000015</v>
      </c>
      <c r="H33" s="45">
        <f>F33/E33*100</f>
        <v>107.55169186966779</v>
      </c>
      <c r="I33" s="31">
        <f t="shared" si="1"/>
        <v>-7099.749999999996</v>
      </c>
      <c r="J33" s="31">
        <f t="shared" si="6"/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 t="shared" si="3"/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 t="shared" si="3"/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 t="shared" si="1"/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 t="shared" si="0"/>
        <v>26.730000000000473</v>
      </c>
      <c r="H42" s="35">
        <f>F42/E42*100</f>
        <v>100.51456291989913</v>
      </c>
      <c r="I42" s="50">
        <f t="shared" si="1"/>
        <v>-1878.5699999999997</v>
      </c>
      <c r="J42" s="50">
        <f t="shared" si="6"/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 t="shared" si="3"/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 t="shared" si="0"/>
        <v>-24.870000000000005</v>
      </c>
      <c r="H43" s="137">
        <f>F43/E43*100</f>
        <v>96.72763157894737</v>
      </c>
      <c r="I43" s="136">
        <f t="shared" si="1"/>
        <v>-364.87</v>
      </c>
      <c r="J43" s="136">
        <f t="shared" si="6"/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 t="shared" si="0"/>
        <v>56.10999999999967</v>
      </c>
      <c r="H46" s="137">
        <f>F46/E46*100</f>
        <v>101.2798813868613</v>
      </c>
      <c r="I46" s="136">
        <f t="shared" si="1"/>
        <v>-1477.8900000000003</v>
      </c>
      <c r="J46" s="136">
        <f t="shared" si="6"/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 t="shared" si="0"/>
        <v>492.6500000000001</v>
      </c>
      <c r="H48" s="35">
        <f>F48/E48*100</f>
        <v>118.24629629629631</v>
      </c>
      <c r="I48" s="50">
        <f t="shared" si="1"/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 t="shared" si="3"/>
        <v>230.73000000000002</v>
      </c>
      <c r="P48" s="50">
        <f aca="true" t="shared" si="7" ref="P48:P53">N48/M48*100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890.6</v>
      </c>
      <c r="G51" s="135">
        <f t="shared" si="0"/>
        <v>890.6</v>
      </c>
      <c r="H51" s="137"/>
      <c r="I51" s="136">
        <f t="shared" si="1"/>
        <v>890.6</v>
      </c>
      <c r="J51" s="136"/>
      <c r="K51" s="219">
        <f>F51-635.8</f>
        <v>254.80000000000007</v>
      </c>
      <c r="L51" s="219">
        <f>F51/635.8*100</f>
        <v>140.07549543881726</v>
      </c>
      <c r="M51" s="137">
        <f>E51-липень!E51</f>
        <v>0</v>
      </c>
      <c r="N51" s="137">
        <f>F51-липень!F51</f>
        <v>207.39999999999998</v>
      </c>
      <c r="O51" s="138">
        <f t="shared" si="3"/>
        <v>207.39999999999998</v>
      </c>
      <c r="P51" s="136"/>
      <c r="Q51" s="50">
        <f>N51-64.93</f>
        <v>142.46999999999997</v>
      </c>
      <c r="R51" s="126">
        <f>N51/64.93</f>
        <v>3.194209148313568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 t="shared" si="8"/>
        <v>-406.98</v>
      </c>
      <c r="H64" s="35"/>
      <c r="I64" s="53">
        <f t="shared" si="9"/>
        <v>-1906.98</v>
      </c>
      <c r="J64" s="53">
        <f t="shared" si="11"/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 t="shared" si="8"/>
        <v>-974.7999999999997</v>
      </c>
      <c r="H65" s="35">
        <f>F65/E65*100</f>
        <v>79.40609789075175</v>
      </c>
      <c r="I65" s="53">
        <f t="shared" si="9"/>
        <v>-7817.360000000001</v>
      </c>
      <c r="J65" s="53">
        <f t="shared" si="11"/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 t="shared" si="10"/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 t="shared" si="8"/>
        <v>-579.8399999999992</v>
      </c>
      <c r="H67" s="65">
        <f>F67/E67*100</f>
        <v>91.43533220878743</v>
      </c>
      <c r="I67" s="54">
        <f t="shared" si="9"/>
        <v>-10885.7</v>
      </c>
      <c r="J67" s="54">
        <f t="shared" si="11"/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 t="shared" si="10"/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52"/>
      <c r="O79" s="252"/>
    </row>
    <row r="80" spans="3:15" ht="15.75">
      <c r="C80" s="111">
        <v>42244</v>
      </c>
      <c r="D80" s="34">
        <v>8323.9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42243</v>
      </c>
      <c r="D81" s="34">
        <v>4177.3</v>
      </c>
      <c r="F81" s="90"/>
      <c r="G81" s="253"/>
      <c r="H81" s="253"/>
      <c r="I81" s="177"/>
      <c r="J81" s="258"/>
      <c r="K81" s="258"/>
      <c r="L81" s="258"/>
      <c r="M81" s="258"/>
      <c r="N81" s="252"/>
      <c r="O81" s="252"/>
    </row>
    <row r="82" spans="3:13" ht="15.75" customHeight="1">
      <c r="C82" s="111"/>
      <c r="F82" s="90"/>
      <c r="G82" s="259"/>
      <c r="H82" s="259"/>
      <c r="I82" s="221"/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2162.07</v>
      </c>
      <c r="E83" s="220"/>
      <c r="F83" s="222"/>
      <c r="G83" s="253"/>
      <c r="H83" s="253"/>
      <c r="I83" s="223"/>
      <c r="J83" s="254"/>
      <c r="K83" s="254"/>
      <c r="L83" s="254"/>
      <c r="M83" s="254"/>
    </row>
    <row r="84" spans="6:12" ht="9.75" customHeight="1">
      <c r="F84" s="90"/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F85" s="90"/>
      <c r="G85" s="253"/>
      <c r="H85" s="253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G4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3" sqref="N3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289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285</v>
      </c>
      <c r="N3" s="241" t="s">
        <v>286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282</v>
      </c>
      <c r="F4" s="243" t="s">
        <v>116</v>
      </c>
      <c r="G4" s="245" t="s">
        <v>283</v>
      </c>
      <c r="H4" s="247" t="s">
        <v>284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290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287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52"/>
      <c r="O79" s="252"/>
    </row>
    <row r="80" spans="3:15" ht="15.75">
      <c r="C80" s="111">
        <v>42215</v>
      </c>
      <c r="D80" s="34">
        <v>7239.9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42214</v>
      </c>
      <c r="D81" s="34">
        <v>4823.1</v>
      </c>
      <c r="G81" s="265" t="s">
        <v>151</v>
      </c>
      <c r="H81" s="265"/>
      <c r="I81" s="106">
        <v>8909.73221</v>
      </c>
      <c r="J81" s="258"/>
      <c r="K81" s="258"/>
      <c r="L81" s="258"/>
      <c r="M81" s="258"/>
      <c r="N81" s="252"/>
      <c r="O81" s="252"/>
    </row>
    <row r="82" spans="3:13" ht="15.75" customHeight="1">
      <c r="C82" s="111"/>
      <c r="G82" s="266" t="s">
        <v>234</v>
      </c>
      <c r="H82" s="267"/>
      <c r="I82" s="103">
        <v>0</v>
      </c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24842.96012</v>
      </c>
      <c r="E83" s="73"/>
      <c r="F83" s="156" t="s">
        <v>147</v>
      </c>
      <c r="G83" s="265" t="s">
        <v>149</v>
      </c>
      <c r="H83" s="265"/>
      <c r="I83" s="107">
        <v>15933.22791</v>
      </c>
      <c r="J83" s="254"/>
      <c r="K83" s="254"/>
      <c r="L83" s="254"/>
      <c r="M83" s="254"/>
    </row>
    <row r="84" spans="7:12" ht="9.75" customHeight="1"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G85" s="253"/>
      <c r="H85" s="253"/>
      <c r="I85" s="90"/>
      <c r="J85" s="91"/>
      <c r="K85" s="91"/>
      <c r="L85" s="91"/>
    </row>
    <row r="86" spans="4:15" ht="15.75">
      <c r="D86" s="105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1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6" sqref="H2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68" t="s">
        <v>280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117"/>
      <c r="R1" s="118"/>
    </row>
    <row r="2" spans="2:18" s="1" customFormat="1" ht="15.75" customHeight="1">
      <c r="B2" s="229"/>
      <c r="C2" s="229"/>
      <c r="D2" s="229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277</v>
      </c>
      <c r="N3" s="241" t="s">
        <v>278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279</v>
      </c>
      <c r="F4" s="269" t="s">
        <v>116</v>
      </c>
      <c r="G4" s="245" t="s">
        <v>275</v>
      </c>
      <c r="H4" s="247" t="s">
        <v>276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281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70"/>
      <c r="G5" s="246"/>
      <c r="H5" s="248"/>
      <c r="I5" s="250"/>
      <c r="J5" s="240"/>
      <c r="K5" s="226" t="s">
        <v>288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52"/>
      <c r="O79" s="252"/>
    </row>
    <row r="80" spans="3:15" ht="15.75">
      <c r="C80" s="111">
        <v>42181</v>
      </c>
      <c r="D80" s="34">
        <v>8722.4</v>
      </c>
      <c r="F80" s="217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42180</v>
      </c>
      <c r="D81" s="34">
        <v>4146.6</v>
      </c>
      <c r="G81" s="265" t="s">
        <v>151</v>
      </c>
      <c r="H81" s="265"/>
      <c r="I81" s="106">
        <v>8909.73221</v>
      </c>
      <c r="J81" s="258"/>
      <c r="K81" s="258"/>
      <c r="L81" s="258"/>
      <c r="M81" s="258"/>
      <c r="N81" s="252"/>
      <c r="O81" s="252"/>
    </row>
    <row r="82" spans="3:13" ht="15.75" customHeight="1">
      <c r="C82" s="111"/>
      <c r="G82" s="266" t="s">
        <v>234</v>
      </c>
      <c r="H82" s="267"/>
      <c r="I82" s="103">
        <v>0</v>
      </c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152943.93305000002</v>
      </c>
      <c r="E83" s="73"/>
      <c r="F83" s="218" t="s">
        <v>147</v>
      </c>
      <c r="G83" s="265" t="s">
        <v>149</v>
      </c>
      <c r="H83" s="265"/>
      <c r="I83" s="107">
        <v>144034.20084</v>
      </c>
      <c r="J83" s="254"/>
      <c r="K83" s="254"/>
      <c r="L83" s="254"/>
      <c r="M83" s="254"/>
    </row>
    <row r="84" spans="7:12" ht="9.75" customHeight="1"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G85" s="253"/>
      <c r="H85" s="253"/>
      <c r="I85" s="90"/>
      <c r="J85" s="91"/>
      <c r="K85" s="91"/>
      <c r="L85" s="91"/>
    </row>
    <row r="86" spans="4:15" ht="15.75">
      <c r="D86" s="105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55" sqref="N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274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266</v>
      </c>
      <c r="N3" s="241" t="s">
        <v>267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262</v>
      </c>
      <c r="F4" s="243" t="s">
        <v>116</v>
      </c>
      <c r="G4" s="245" t="s">
        <v>263</v>
      </c>
      <c r="H4" s="247" t="s">
        <v>264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273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265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52"/>
      <c r="O79" s="252"/>
    </row>
    <row r="80" spans="3:15" ht="15.75">
      <c r="C80" s="111">
        <v>42152</v>
      </c>
      <c r="D80" s="34">
        <v>5845.4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42151</v>
      </c>
      <c r="D81" s="34">
        <v>3158.7</v>
      </c>
      <c r="G81" s="265" t="s">
        <v>151</v>
      </c>
      <c r="H81" s="265"/>
      <c r="I81" s="106">
        <v>8909.73221</v>
      </c>
      <c r="J81" s="258"/>
      <c r="K81" s="258"/>
      <c r="L81" s="258"/>
      <c r="M81" s="258"/>
      <c r="N81" s="252"/>
      <c r="O81" s="252"/>
    </row>
    <row r="82" spans="7:13" ht="15.75" customHeight="1">
      <c r="G82" s="266" t="s">
        <v>234</v>
      </c>
      <c r="H82" s="267"/>
      <c r="I82" s="103">
        <v>0</v>
      </c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153606.78</v>
      </c>
      <c r="E83" s="73"/>
      <c r="F83" s="156" t="s">
        <v>147</v>
      </c>
      <c r="G83" s="265" t="s">
        <v>149</v>
      </c>
      <c r="H83" s="265"/>
      <c r="I83" s="107">
        <v>144697.05</v>
      </c>
      <c r="J83" s="254"/>
      <c r="K83" s="254"/>
      <c r="L83" s="254"/>
      <c r="M83" s="254"/>
    </row>
    <row r="84" spans="7:12" ht="9.75" customHeight="1"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G85" s="253"/>
      <c r="H85" s="253"/>
      <c r="I85" s="90"/>
      <c r="J85" s="91"/>
      <c r="K85" s="91"/>
      <c r="L85" s="91"/>
    </row>
    <row r="86" spans="4:15" ht="15.75">
      <c r="D86" s="105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259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240</v>
      </c>
      <c r="N3" s="241" t="s">
        <v>241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237</v>
      </c>
      <c r="F4" s="271" t="s">
        <v>116</v>
      </c>
      <c r="G4" s="245" t="s">
        <v>238</v>
      </c>
      <c r="H4" s="247" t="s">
        <v>239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260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72"/>
      <c r="G5" s="246"/>
      <c r="H5" s="248"/>
      <c r="I5" s="250"/>
      <c r="J5" s="240"/>
      <c r="K5" s="226" t="s">
        <v>242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51"/>
      <c r="H103" s="251"/>
      <c r="I103" s="251"/>
      <c r="J103" s="251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52"/>
      <c r="O104" s="252"/>
    </row>
    <row r="105" spans="3:15" ht="15.75">
      <c r="C105" s="111">
        <v>42123</v>
      </c>
      <c r="D105" s="34">
        <v>7959.6</v>
      </c>
      <c r="F105" s="201" t="s">
        <v>166</v>
      </c>
      <c r="G105" s="253"/>
      <c r="H105" s="253"/>
      <c r="I105" s="177"/>
      <c r="J105" s="254"/>
      <c r="K105" s="254"/>
      <c r="L105" s="254"/>
      <c r="M105" s="254"/>
      <c r="N105" s="252"/>
      <c r="O105" s="252"/>
    </row>
    <row r="106" spans="3:15" ht="15.75" customHeight="1">
      <c r="C106" s="111">
        <v>42122</v>
      </c>
      <c r="D106" s="34">
        <v>4962.7</v>
      </c>
      <c r="G106" s="265" t="s">
        <v>151</v>
      </c>
      <c r="H106" s="265"/>
      <c r="I106" s="106">
        <v>8909.73221</v>
      </c>
      <c r="J106" s="258"/>
      <c r="K106" s="258"/>
      <c r="L106" s="258"/>
      <c r="M106" s="258"/>
      <c r="N106" s="252"/>
      <c r="O106" s="252"/>
    </row>
    <row r="107" spans="7:13" ht="15.75" customHeight="1">
      <c r="G107" s="266" t="s">
        <v>234</v>
      </c>
      <c r="H107" s="267"/>
      <c r="I107" s="103">
        <v>0</v>
      </c>
      <c r="J107" s="254"/>
      <c r="K107" s="254"/>
      <c r="L107" s="254"/>
      <c r="M107" s="254"/>
    </row>
    <row r="108" spans="2:13" ht="18.75" customHeight="1">
      <c r="B108" s="260" t="s">
        <v>160</v>
      </c>
      <c r="C108" s="261"/>
      <c r="D108" s="108">
        <v>154856.06924</v>
      </c>
      <c r="E108" s="73"/>
      <c r="F108" s="202" t="s">
        <v>147</v>
      </c>
      <c r="G108" s="265" t="s">
        <v>149</v>
      </c>
      <c r="H108" s="265"/>
      <c r="I108" s="107">
        <v>145946.33703</v>
      </c>
      <c r="J108" s="254"/>
      <c r="K108" s="254"/>
      <c r="L108" s="254"/>
      <c r="M108" s="254"/>
    </row>
    <row r="109" spans="7:12" ht="9.75" customHeight="1">
      <c r="G109" s="253"/>
      <c r="H109" s="253"/>
      <c r="I109" s="90"/>
      <c r="J109" s="91"/>
      <c r="K109" s="91"/>
      <c r="L109" s="91"/>
    </row>
    <row r="110" spans="2:12" ht="22.5" customHeight="1" hidden="1">
      <c r="B110" s="262" t="s">
        <v>167</v>
      </c>
      <c r="C110" s="263"/>
      <c r="D110" s="110">
        <v>0</v>
      </c>
      <c r="E110" s="70" t="s">
        <v>104</v>
      </c>
      <c r="G110" s="253"/>
      <c r="H110" s="253"/>
      <c r="I110" s="90"/>
      <c r="J110" s="91"/>
      <c r="K110" s="91"/>
      <c r="L110" s="91"/>
    </row>
    <row r="111" spans="4:15" ht="15.75">
      <c r="D111" s="105"/>
      <c r="N111" s="253"/>
      <c r="O111" s="253"/>
    </row>
    <row r="112" spans="4:15" ht="15.75">
      <c r="D112" s="104"/>
      <c r="I112" s="34"/>
      <c r="N112" s="264"/>
      <c r="O112" s="264"/>
    </row>
    <row r="113" spans="14:15" ht="15.75">
      <c r="N113" s="253"/>
      <c r="O113" s="253"/>
    </row>
    <row r="117" ht="15.75">
      <c r="E117" s="4" t="s">
        <v>166</v>
      </c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235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216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231</v>
      </c>
      <c r="N3" s="241" t="s">
        <v>232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228</v>
      </c>
      <c r="F4" s="243" t="s">
        <v>116</v>
      </c>
      <c r="G4" s="245" t="s">
        <v>229</v>
      </c>
      <c r="H4" s="247" t="s">
        <v>230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236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233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51"/>
      <c r="H104" s="251"/>
      <c r="I104" s="251"/>
      <c r="J104" s="25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52"/>
      <c r="O105" s="252"/>
    </row>
    <row r="106" spans="3:15" ht="15.75">
      <c r="C106" s="111">
        <v>42093</v>
      </c>
      <c r="D106" s="34">
        <v>8025</v>
      </c>
      <c r="F106" s="155" t="s">
        <v>166</v>
      </c>
      <c r="G106" s="253"/>
      <c r="H106" s="253"/>
      <c r="I106" s="177"/>
      <c r="J106" s="254"/>
      <c r="K106" s="254"/>
      <c r="L106" s="254"/>
      <c r="M106" s="254"/>
      <c r="N106" s="252"/>
      <c r="O106" s="252"/>
    </row>
    <row r="107" spans="3:15" ht="15.75" customHeight="1">
      <c r="C107" s="111">
        <v>42090</v>
      </c>
      <c r="D107" s="34">
        <v>4282.6</v>
      </c>
      <c r="G107" s="265" t="s">
        <v>151</v>
      </c>
      <c r="H107" s="265"/>
      <c r="I107" s="106">
        <f>8909732.21/1000</f>
        <v>8909.73221</v>
      </c>
      <c r="J107" s="258"/>
      <c r="K107" s="258"/>
      <c r="L107" s="258"/>
      <c r="M107" s="258"/>
      <c r="N107" s="252"/>
      <c r="O107" s="252"/>
    </row>
    <row r="108" spans="7:13" ht="15.75" customHeight="1">
      <c r="G108" s="266" t="s">
        <v>234</v>
      </c>
      <c r="H108" s="267"/>
      <c r="I108" s="103">
        <v>0</v>
      </c>
      <c r="J108" s="254"/>
      <c r="K108" s="254"/>
      <c r="L108" s="254"/>
      <c r="M108" s="254"/>
    </row>
    <row r="109" spans="2:13" ht="18.75" customHeight="1">
      <c r="B109" s="260" t="s">
        <v>160</v>
      </c>
      <c r="C109" s="261"/>
      <c r="D109" s="108">
        <f>147433239.77/1000</f>
        <v>147433.23977000001</v>
      </c>
      <c r="E109" s="73"/>
      <c r="F109" s="156" t="s">
        <v>147</v>
      </c>
      <c r="G109" s="265" t="s">
        <v>149</v>
      </c>
      <c r="H109" s="265"/>
      <c r="I109" s="107">
        <f>138523507.56/1000</f>
        <v>138523.50756</v>
      </c>
      <c r="J109" s="254"/>
      <c r="K109" s="254"/>
      <c r="L109" s="254"/>
      <c r="M109" s="254"/>
    </row>
    <row r="110" spans="7:12" ht="9.75" customHeight="1">
      <c r="G110" s="253"/>
      <c r="H110" s="253"/>
      <c r="I110" s="90"/>
      <c r="J110" s="91"/>
      <c r="K110" s="91"/>
      <c r="L110" s="91"/>
    </row>
    <row r="111" spans="2:12" ht="22.5" customHeight="1" hidden="1">
      <c r="B111" s="262" t="s">
        <v>167</v>
      </c>
      <c r="C111" s="263"/>
      <c r="D111" s="110">
        <v>0</v>
      </c>
      <c r="E111" s="70" t="s">
        <v>104</v>
      </c>
      <c r="G111" s="253"/>
      <c r="H111" s="253"/>
      <c r="I111" s="90"/>
      <c r="J111" s="91"/>
      <c r="K111" s="91"/>
      <c r="L111" s="91"/>
    </row>
    <row r="112" spans="4:15" ht="15.75">
      <c r="D112" s="105"/>
      <c r="N112" s="253"/>
      <c r="O112" s="253"/>
    </row>
    <row r="113" spans="4:15" ht="15.75">
      <c r="D113" s="104"/>
      <c r="I113" s="34"/>
      <c r="N113" s="264"/>
      <c r="O113" s="264"/>
    </row>
    <row r="114" spans="14:15" ht="15.75">
      <c r="N114" s="253"/>
      <c r="O114" s="25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227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 t="s">
        <v>205</v>
      </c>
      <c r="C3" s="233" t="s">
        <v>0</v>
      </c>
      <c r="D3" s="234" t="s">
        <v>216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221</v>
      </c>
      <c r="N3" s="241" t="s">
        <v>202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199</v>
      </c>
      <c r="F4" s="243" t="s">
        <v>116</v>
      </c>
      <c r="G4" s="245" t="s">
        <v>200</v>
      </c>
      <c r="H4" s="247" t="s">
        <v>201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226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224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51"/>
      <c r="H104" s="251"/>
      <c r="I104" s="251"/>
      <c r="J104" s="25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52"/>
      <c r="O105" s="252"/>
    </row>
    <row r="106" spans="3:15" ht="15.75">
      <c r="C106" s="111">
        <v>42061</v>
      </c>
      <c r="D106" s="34">
        <v>6003.3</v>
      </c>
      <c r="F106" s="155" t="s">
        <v>166</v>
      </c>
      <c r="G106" s="253"/>
      <c r="H106" s="253"/>
      <c r="I106" s="177"/>
      <c r="J106" s="254"/>
      <c r="K106" s="254"/>
      <c r="L106" s="254"/>
      <c r="M106" s="254"/>
      <c r="N106" s="252"/>
      <c r="O106" s="252"/>
    </row>
    <row r="107" spans="3:15" ht="15.75" customHeight="1">
      <c r="C107" s="111">
        <v>42060</v>
      </c>
      <c r="D107" s="34">
        <v>1551.3</v>
      </c>
      <c r="G107" s="265" t="s">
        <v>151</v>
      </c>
      <c r="H107" s="265"/>
      <c r="I107" s="106">
        <v>8909.73221</v>
      </c>
      <c r="J107" s="258"/>
      <c r="K107" s="258"/>
      <c r="L107" s="258"/>
      <c r="M107" s="258"/>
      <c r="N107" s="252"/>
      <c r="O107" s="252"/>
    </row>
    <row r="108" spans="7:13" ht="15.75" customHeight="1">
      <c r="G108" s="273" t="s">
        <v>155</v>
      </c>
      <c r="H108" s="273"/>
      <c r="I108" s="103">
        <v>0</v>
      </c>
      <c r="J108" s="254"/>
      <c r="K108" s="254"/>
      <c r="L108" s="254"/>
      <c r="M108" s="254"/>
    </row>
    <row r="109" spans="2:13" ht="18.75" customHeight="1">
      <c r="B109" s="260" t="s">
        <v>160</v>
      </c>
      <c r="C109" s="261"/>
      <c r="D109" s="108">
        <f>138305956.27/1000</f>
        <v>138305.95627000002</v>
      </c>
      <c r="E109" s="73"/>
      <c r="F109" s="156" t="s">
        <v>147</v>
      </c>
      <c r="G109" s="265" t="s">
        <v>149</v>
      </c>
      <c r="H109" s="265"/>
      <c r="I109" s="107">
        <v>129396.23</v>
      </c>
      <c r="J109" s="254"/>
      <c r="K109" s="254"/>
      <c r="L109" s="254"/>
      <c r="M109" s="254"/>
    </row>
    <row r="110" spans="7:12" ht="9.75" customHeight="1">
      <c r="G110" s="253"/>
      <c r="H110" s="253"/>
      <c r="I110" s="90"/>
      <c r="J110" s="91"/>
      <c r="K110" s="91"/>
      <c r="L110" s="91"/>
    </row>
    <row r="111" spans="2:12" ht="22.5" customHeight="1" hidden="1">
      <c r="B111" s="262" t="s">
        <v>167</v>
      </c>
      <c r="C111" s="263"/>
      <c r="D111" s="110">
        <v>0</v>
      </c>
      <c r="E111" s="70" t="s">
        <v>104</v>
      </c>
      <c r="G111" s="253"/>
      <c r="H111" s="253"/>
      <c r="I111" s="90"/>
      <c r="J111" s="91"/>
      <c r="K111" s="91"/>
      <c r="L111" s="91"/>
    </row>
    <row r="112" spans="4:15" ht="15.75">
      <c r="D112" s="105"/>
      <c r="N112" s="253"/>
      <c r="O112" s="253"/>
    </row>
    <row r="113" spans="4:15" ht="15.75">
      <c r="D113" s="104"/>
      <c r="I113" s="34"/>
      <c r="N113" s="264"/>
      <c r="O113" s="264"/>
    </row>
    <row r="114" spans="14:15" ht="15.75">
      <c r="N114" s="253"/>
      <c r="O114" s="25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193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 t="s">
        <v>205</v>
      </c>
      <c r="C3" s="233" t="s">
        <v>0</v>
      </c>
      <c r="D3" s="234" t="s">
        <v>216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220</v>
      </c>
      <c r="N3" s="241" t="s">
        <v>175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219</v>
      </c>
      <c r="F4" s="243" t="s">
        <v>116</v>
      </c>
      <c r="G4" s="245" t="s">
        <v>173</v>
      </c>
      <c r="H4" s="280" t="s">
        <v>174</v>
      </c>
      <c r="I4" s="278" t="s">
        <v>217</v>
      </c>
      <c r="J4" s="276" t="s">
        <v>218</v>
      </c>
      <c r="K4" s="116" t="s">
        <v>172</v>
      </c>
      <c r="L4" s="121" t="s">
        <v>171</v>
      </c>
      <c r="M4" s="239"/>
      <c r="N4" s="255" t="s">
        <v>194</v>
      </c>
      <c r="O4" s="278" t="s">
        <v>136</v>
      </c>
      <c r="P4" s="241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81"/>
      <c r="I5" s="279"/>
      <c r="J5" s="277"/>
      <c r="K5" s="226" t="s">
        <v>188</v>
      </c>
      <c r="L5" s="227"/>
      <c r="M5" s="240"/>
      <c r="N5" s="256"/>
      <c r="O5" s="279"/>
      <c r="P5" s="241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51"/>
      <c r="H102" s="251"/>
      <c r="I102" s="251"/>
      <c r="J102" s="251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52"/>
      <c r="O103" s="252"/>
    </row>
    <row r="104" spans="3:15" ht="15.75">
      <c r="C104" s="111">
        <v>42033</v>
      </c>
      <c r="D104" s="34">
        <v>2896.5</v>
      </c>
      <c r="F104" s="155" t="s">
        <v>166</v>
      </c>
      <c r="G104" s="265" t="s">
        <v>151</v>
      </c>
      <c r="H104" s="265"/>
      <c r="I104" s="106">
        <f>'січень '!I139</f>
        <v>8909.733</v>
      </c>
      <c r="J104" s="274" t="s">
        <v>161</v>
      </c>
      <c r="K104" s="274"/>
      <c r="L104" s="274"/>
      <c r="M104" s="274"/>
      <c r="N104" s="252"/>
      <c r="O104" s="252"/>
    </row>
    <row r="105" spans="3:15" ht="15.75">
      <c r="C105" s="111">
        <v>42032</v>
      </c>
      <c r="D105" s="34">
        <v>2838.1</v>
      </c>
      <c r="G105" s="273" t="s">
        <v>155</v>
      </c>
      <c r="H105" s="273"/>
      <c r="I105" s="103">
        <f>'січень '!I140</f>
        <v>0</v>
      </c>
      <c r="J105" s="275" t="s">
        <v>162</v>
      </c>
      <c r="K105" s="275"/>
      <c r="L105" s="275"/>
      <c r="M105" s="275"/>
      <c r="N105" s="252"/>
      <c r="O105" s="252"/>
    </row>
    <row r="106" spans="7:13" ht="15.75" customHeight="1">
      <c r="G106" s="265" t="s">
        <v>148</v>
      </c>
      <c r="H106" s="265"/>
      <c r="I106" s="103">
        <f>'січень '!I141</f>
        <v>0</v>
      </c>
      <c r="J106" s="274" t="s">
        <v>163</v>
      </c>
      <c r="K106" s="274"/>
      <c r="L106" s="274"/>
      <c r="M106" s="274"/>
    </row>
    <row r="107" spans="2:13" ht="18.75" customHeight="1">
      <c r="B107" s="260" t="s">
        <v>160</v>
      </c>
      <c r="C107" s="261"/>
      <c r="D107" s="108">
        <f>'січень '!D142</f>
        <v>132375.63</v>
      </c>
      <c r="E107" s="73"/>
      <c r="F107" s="156" t="s">
        <v>147</v>
      </c>
      <c r="G107" s="265" t="s">
        <v>149</v>
      </c>
      <c r="H107" s="265"/>
      <c r="I107" s="107">
        <f>'січень '!I142</f>
        <v>123465.893</v>
      </c>
      <c r="J107" s="274" t="s">
        <v>164</v>
      </c>
      <c r="K107" s="274"/>
      <c r="L107" s="274"/>
      <c r="M107" s="274"/>
    </row>
    <row r="108" spans="7:12" ht="9.75" customHeight="1">
      <c r="G108" s="253"/>
      <c r="H108" s="253"/>
      <c r="I108" s="90"/>
      <c r="J108" s="91"/>
      <c r="K108" s="91"/>
      <c r="L108" s="91"/>
    </row>
    <row r="109" spans="2:12" ht="22.5" customHeight="1" hidden="1">
      <c r="B109" s="262" t="s">
        <v>167</v>
      </c>
      <c r="C109" s="263"/>
      <c r="D109" s="110">
        <v>0</v>
      </c>
      <c r="E109" s="70" t="s">
        <v>104</v>
      </c>
      <c r="G109" s="253"/>
      <c r="H109" s="253"/>
      <c r="I109" s="90"/>
      <c r="J109" s="91"/>
      <c r="K109" s="91"/>
      <c r="L109" s="91"/>
    </row>
    <row r="110" spans="4:15" ht="15.75">
      <c r="D110" s="105"/>
      <c r="N110" s="253"/>
      <c r="O110" s="253"/>
    </row>
    <row r="111" spans="4:15" ht="15.75">
      <c r="D111" s="104"/>
      <c r="I111" s="34"/>
      <c r="N111" s="264"/>
      <c r="O111" s="264"/>
    </row>
    <row r="112" spans="14:15" ht="15.75">
      <c r="N112" s="253"/>
      <c r="O112" s="25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2015-09-25T08:19:48Z</cp:lastPrinted>
  <dcterms:created xsi:type="dcterms:W3CDTF">2003-07-28T11:27:56Z</dcterms:created>
  <dcterms:modified xsi:type="dcterms:W3CDTF">2015-09-28T07:24:55Z</dcterms:modified>
  <cp:category/>
  <cp:version/>
  <cp:contentType/>
  <cp:contentStatus/>
</cp:coreProperties>
</file>